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29" i="1"/>
  <c r="N28"/>
  <c r="N34"/>
  <c r="N33"/>
  <c r="N31"/>
  <c r="N32"/>
  <c r="N27"/>
  <c r="J16" i="3"/>
  <c r="N16" i="6"/>
  <c r="N15"/>
  <c r="N15" i="5"/>
  <c r="N15" i="4"/>
  <c r="N17" i="3"/>
  <c r="N16"/>
  <c r="N18" i="2"/>
  <c r="N17"/>
  <c r="O43" i="1" l="1"/>
  <c r="O42"/>
  <c r="N43"/>
  <c r="N42"/>
  <c r="N45"/>
  <c r="O34"/>
  <c r="O33"/>
  <c r="O32"/>
  <c r="O31"/>
  <c r="O29"/>
  <c r="O45" l="1"/>
  <c r="O28"/>
  <c r="O27"/>
  <c r="O26"/>
  <c r="N26"/>
  <c r="O15" i="4"/>
  <c r="J15"/>
  <c r="J17" i="3"/>
  <c r="O17"/>
  <c r="O16"/>
  <c r="J18" i="2"/>
  <c r="J17"/>
  <c r="O18"/>
  <c r="O17"/>
  <c r="O16"/>
  <c r="N16"/>
  <c r="Q44" i="1"/>
  <c r="K45"/>
  <c r="J45"/>
  <c r="K44"/>
  <c r="I45"/>
  <c r="O16" i="6" l="1"/>
  <c r="O15"/>
  <c r="J16"/>
  <c r="J15"/>
  <c r="E45" i="1" l="1"/>
  <c r="O41"/>
  <c r="N41"/>
  <c r="J27"/>
  <c r="J26"/>
  <c r="J41"/>
  <c r="O35" l="1"/>
  <c r="N35"/>
  <c r="P34"/>
  <c r="Q34" s="1"/>
  <c r="K34"/>
  <c r="E35"/>
  <c r="J19" i="2"/>
  <c r="J20" i="3" l="1"/>
  <c r="J33" i="1" l="1"/>
  <c r="O30" l="1"/>
  <c r="L20" i="3" l="1"/>
  <c r="M20"/>
  <c r="N20"/>
  <c r="O20"/>
  <c r="H19" i="2" l="1"/>
  <c r="P17" i="3"/>
  <c r="M19" i="2" l="1"/>
  <c r="M30" i="3"/>
  <c r="M35" i="1"/>
  <c r="H45"/>
  <c r="P31" l="1"/>
  <c r="P32"/>
  <c r="P33"/>
  <c r="O19" i="2"/>
  <c r="N19"/>
  <c r="I19" l="1"/>
  <c r="K18"/>
  <c r="K17" i="3"/>
  <c r="H20"/>
  <c r="E20"/>
  <c r="P18" i="2"/>
  <c r="Q17" i="3" l="1"/>
  <c r="Q18" i="2"/>
  <c r="H35" i="1" l="1"/>
  <c r="K33"/>
  <c r="Q33" s="1"/>
  <c r="K32"/>
  <c r="Q32" s="1"/>
  <c r="K31" l="1"/>
  <c r="Q31" s="1"/>
  <c r="P43"/>
  <c r="K43"/>
  <c r="P29"/>
  <c r="P30"/>
  <c r="Q43" l="1"/>
  <c r="K29" l="1"/>
  <c r="Q29" s="1"/>
  <c r="K30"/>
  <c r="Q30" l="1"/>
  <c r="P42" l="1"/>
  <c r="K42"/>
  <c r="J35" l="1"/>
  <c r="Q42"/>
  <c r="Q45" s="1"/>
  <c r="P28"/>
  <c r="K28" l="1"/>
  <c r="Q28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E19" i="2"/>
  <c r="P41" i="1" l="1"/>
  <c r="P45" s="1"/>
  <c r="P27"/>
  <c r="K27" l="1"/>
  <c r="Q27" l="1"/>
  <c r="K41"/>
  <c r="Q41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M49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P35" s="1"/>
  <c r="K26"/>
  <c r="K35" s="1"/>
  <c r="Q35" l="1"/>
  <c r="Q26"/>
  <c r="P25" l="1"/>
  <c r="P15" i="6"/>
  <c r="Q15" l="1"/>
  <c r="Q18" s="1"/>
  <c r="P18"/>
  <c r="K25" i="1"/>
  <c r="Q25" s="1"/>
  <c r="P24" l="1"/>
  <c r="I49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8"/>
  <c r="P38"/>
  <c r="N28" i="5"/>
  <c r="N28" i="4"/>
  <c r="N29" i="2"/>
  <c r="O28" i="5"/>
  <c r="H16" i="7" l="1"/>
  <c r="H19" s="1"/>
  <c r="H29" s="1"/>
  <c r="K49" i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9"/>
  <c r="Q20"/>
  <c r="Q16"/>
  <c r="Q38"/>
  <c r="K28" i="5"/>
  <c r="H28" i="6"/>
  <c r="J28"/>
  <c r="P29" i="2"/>
  <c r="Q24" i="1"/>
  <c r="P28" i="5"/>
  <c r="J28"/>
  <c r="P23" i="1"/>
  <c r="O49"/>
  <c r="J49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9" i="1"/>
  <c r="P16" i="7" l="1"/>
  <c r="P19" s="1"/>
  <c r="P29" s="1"/>
  <c r="P49" i="1"/>
  <c r="Q49"/>
  <c r="Q16" i="7" l="1"/>
  <c r="Q19" s="1"/>
  <c r="Q29" s="1"/>
</calcChain>
</file>

<file path=xl/sharedStrings.xml><?xml version="1.0" encoding="utf-8"?>
<sst xmlns="http://schemas.openxmlformats.org/spreadsheetml/2006/main" count="320" uniqueCount="94">
  <si>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</si>
  <si>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</si>
  <si>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</si>
  <si>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</si>
  <si>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</si>
  <si>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</si>
  <si>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</si>
  <si>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</si>
  <si>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</si>
  <si>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</si>
  <si>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</si>
  <si>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</si>
  <si>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</si>
  <si>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</si>
  <si>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</si>
  <si>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</si>
  <si>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</si>
  <si>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</si>
  <si>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</si>
  <si>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</si>
  <si>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</si>
  <si>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</si>
  <si>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</si>
  <si>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</si>
  <si>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</si>
  <si>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</si>
  <si>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</si>
  <si>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</si>
  <si>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</si>
  <si>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</si>
  <si>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</si>
  <si>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</si>
  <si>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</si>
  <si>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</si>
  <si>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</si>
  <si>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</si>
  <si>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</si>
  <si>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</si>
  <si>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</si>
  <si>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</si>
  <si>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</si>
  <si>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</si>
  <si>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</si>
  <si>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</si>
  <si>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</si>
  <si>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</si>
  <si>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</si>
  <si>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</si>
  <si>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</si>
  <si>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</si>
  <si>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</si>
  <si>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</si>
  <si>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</si>
  <si>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</si>
  <si>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</si>
  <si>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</si>
  <si>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</si>
  <si>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</si>
  <si>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</si>
  <si>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</si>
  <si>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</si>
  <si>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</si>
  <si>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</si>
  <si>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</si>
  <si>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</si>
  <si>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</si>
  <si>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</si>
  <si>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</si>
  <si>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</si>
  <si>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</si>
  <si>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</si>
  <si>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</si>
  <si>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</si>
  <si>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</si>
  <si>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</si>
  <si>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</si>
  <si>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</si>
  <si>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</si>
  <si>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</si>
  <si>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</si>
  <si>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</si>
  <si>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</si>
  <si>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</si>
  <si>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</si>
  <si>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</si>
  <si>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</si>
  <si>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Договор  N13-1/16 от  25.05.2016</t>
  </si>
  <si>
    <t>по состоянию на 01 августа 2016 года</t>
  </si>
  <si>
    <t>ПАО "Совкомбанк"</t>
  </si>
  <si>
    <t>Муниципальный контракт  N 0106300008416000007-0226286-01 от 02.07.2016.</t>
  </si>
  <si>
    <t>по состоянию на 01 августа   2016 года</t>
  </si>
  <si>
    <t>по состоянию на 01  августа  2016 года</t>
  </si>
  <si>
    <t>по состоянию на 01  августа 2016 года</t>
  </si>
  <si>
    <t>Договор  N13-1/14 от  25.12.2014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</si>
</sst>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view="pageBreakPreview" topLeftCell="D1" zoomScaleNormal="75" workbookViewId="0">
      <selection activeCell="N34" sqref="N34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7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5" t="s">
        <v>23</v>
      </c>
      <c r="M1" s="213"/>
      <c r="N1" s="213"/>
      <c r="O1" s="213"/>
      <c r="P1" s="213"/>
      <c r="Q1" s="213"/>
    </row>
    <row r="2" spans="1:17" ht="26.25" hidden="1" customHeight="1">
      <c r="L2" s="213"/>
      <c r="M2" s="213"/>
      <c r="N2" s="213"/>
      <c r="O2" s="213"/>
      <c r="P2" s="213"/>
      <c r="Q2" s="213"/>
    </row>
    <row r="3" spans="1:17" ht="21" customHeight="1">
      <c r="A3" s="230" t="s">
        <v>25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232"/>
      <c r="Q3" s="232"/>
    </row>
    <row r="4" spans="1:17" ht="16.5" customHeight="1">
      <c r="B4" s="2"/>
      <c r="C4" s="2"/>
      <c r="D4" s="224" t="s">
        <v>87</v>
      </c>
      <c r="E4" s="225"/>
      <c r="F4" s="225"/>
      <c r="G4" s="225"/>
      <c r="H4" s="225"/>
      <c r="I4" s="225"/>
      <c r="J4" s="225"/>
      <c r="K4" s="225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2" t="s">
        <v>22</v>
      </c>
      <c r="O5" s="222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6"/>
      <c r="G7" s="226"/>
      <c r="H7" s="226"/>
      <c r="I7" s="226"/>
      <c r="J7" s="226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6" t="s">
        <v>19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7" t="s">
        <v>20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4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4" si="1">H20+I20-J20</f>
        <v>0</v>
      </c>
      <c r="L20" s="52"/>
      <c r="M20" s="50"/>
      <c r="N20" s="50"/>
      <c r="O20" s="50"/>
      <c r="P20" s="50">
        <f t="shared" ref="P20:P34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</f>
        <v>49092.91</v>
      </c>
      <c r="O26" s="50">
        <f>687.49+17430.31+6473.79+86.66+3265.19+9221.85+7819.28+6907.62+4448.66</f>
        <v>56340.850000000006</v>
      </c>
      <c r="P26" s="50">
        <f t="shared" si="2"/>
        <v>0</v>
      </c>
      <c r="Q26" s="50">
        <f t="shared" si="0"/>
        <v>2100000</v>
      </c>
    </row>
    <row r="27" spans="1:17" s="3" customFormat="1" ht="30.75" customHeight="1">
      <c r="A27" s="61"/>
      <c r="B27" s="62" t="s">
        <v>24</v>
      </c>
      <c r="C27" s="30" t="s">
        <v>93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9322.65+8097.88+15.41+26.35+8771.03+8330.22+8440.43+7623.67+6966.53</f>
        <v>57594.17</v>
      </c>
      <c r="O27" s="50">
        <f>6464.38+9322.65+252.38+8113.29+8771.03+8330.22+8440.43+7623.67</f>
        <v>57318.049999999996</v>
      </c>
      <c r="P27" s="50">
        <f t="shared" si="2"/>
        <v>6966.5300000000025</v>
      </c>
      <c r="Q27" s="50">
        <f t="shared" si="0"/>
        <v>2706966.53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31056.75+29053.09+31056.75+30054.92+31056.75+29280.63+29644.81</f>
        <v>211203.7</v>
      </c>
      <c r="O28" s="50">
        <f>21849.32+31056.75+753.42+29053.09+31056.75+30054.92+31056.75+29280.63</f>
        <v>204161.63</v>
      </c>
      <c r="P28" s="50">
        <f t="shared" si="2"/>
        <v>29644.810000000009</v>
      </c>
      <c r="Q28" s="50">
        <f t="shared" si="0"/>
        <v>10029644.810000001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21739.72+20337.16+21739.72+21038.44+21739.72+19456.2+16144.56</f>
        <v>142195.52000000002</v>
      </c>
      <c r="O29" s="50">
        <f>16349.32+11.17+21739.72+20337.16+21739.72+21038.44+21739.72+19456.2</f>
        <v>142411.45000000001</v>
      </c>
      <c r="P29" s="50">
        <f t="shared" si="2"/>
        <v>16144.560000000007</v>
      </c>
      <c r="Q29" s="50">
        <f t="shared" si="0"/>
        <v>7016144.5599999996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84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9317.02+8715.93+9317.02+9016.48+9317.02+8784.19+8893.44</f>
        <v>63361.100000000006</v>
      </c>
      <c r="O31" s="50">
        <f>3164.38+9317.02+8715.93+9317.02+9016.48+9317.02+8784.19</f>
        <v>57632.040000000008</v>
      </c>
      <c r="P31" s="50">
        <f t="shared" si="2"/>
        <v>8893.4399999999987</v>
      </c>
      <c r="Q31" s="50">
        <f t="shared" si="0"/>
        <v>3008893.44</v>
      </c>
    </row>
    <row r="32" spans="1:17" s="3" customFormat="1" ht="30.75" customHeight="1">
      <c r="A32" s="61"/>
      <c r="B32" s="62" t="s">
        <v>24</v>
      </c>
      <c r="C32" s="30" t="s">
        <v>82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27640.51+25857.25+27640.51+26748.88+27640.51+26059.76+26383.88</f>
        <v>187971.30000000002</v>
      </c>
      <c r="O32" s="50">
        <f>4693.84+27640.51+25857.25+27640.51+26748.88+27640.51+26059.76</f>
        <v>166281.26</v>
      </c>
      <c r="P32" s="50">
        <f t="shared" si="2"/>
        <v>26383.880000000008</v>
      </c>
      <c r="Q32" s="50">
        <f t="shared" si="0"/>
        <v>8926383.8800000008</v>
      </c>
    </row>
    <row r="33" spans="1:17" s="3" customFormat="1" ht="30.75" customHeight="1">
      <c r="A33" s="61"/>
      <c r="B33" s="62" t="s">
        <v>24</v>
      </c>
      <c r="C33" s="30" t="s">
        <v>83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11989.01+10153.35+9818.94+9016.48+9317.02+8784.19+8893.44</f>
        <v>67972.430000000008</v>
      </c>
      <c r="O33" s="50">
        <f>2109.59+11989.01+10153.35+9818.94+9016.48+9317.02+8784.19</f>
        <v>61188.58</v>
      </c>
      <c r="P33" s="50">
        <f t="shared" si="2"/>
        <v>8893.440000000006</v>
      </c>
      <c r="Q33" s="50">
        <f t="shared" si="0"/>
        <v>3008893.44</v>
      </c>
    </row>
    <row r="34" spans="1:17" s="3" customFormat="1" ht="30.75" customHeight="1">
      <c r="A34" s="61"/>
      <c r="B34" s="62" t="s">
        <v>24</v>
      </c>
      <c r="C34" s="30" t="s">
        <v>86</v>
      </c>
      <c r="D34" s="31" t="s">
        <v>26</v>
      </c>
      <c r="E34" s="47">
        <v>5000000</v>
      </c>
      <c r="F34" s="48"/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1001.83+14640.32+14822.4</f>
        <v>30464.55</v>
      </c>
      <c r="O34" s="50">
        <f>1001.83+14640.32</f>
        <v>15642.15</v>
      </c>
      <c r="P34" s="50">
        <f t="shared" si="2"/>
        <v>14822.4</v>
      </c>
      <c r="Q34" s="50">
        <f t="shared" si="0"/>
        <v>5014822.4000000004</v>
      </c>
    </row>
    <row r="35" spans="1:17" s="3" customFormat="1" ht="18.75" customHeight="1">
      <c r="A35" s="44" t="s">
        <v>15</v>
      </c>
      <c r="B35" s="45"/>
      <c r="C35" s="30"/>
      <c r="D35" s="31"/>
      <c r="E35" s="47">
        <f>E21+E22+E23+E24+E25+E26+E29+E30+E31+E32+E33+E34</f>
        <v>53680000</v>
      </c>
      <c r="F35" s="47"/>
      <c r="G35" s="47"/>
      <c r="H35" s="47">
        <f>H21+H22+H23+H24+H25+H26+H27+H28+H29+H30+H31+H32+H33</f>
        <v>39350000</v>
      </c>
      <c r="I35" s="47">
        <v>5000000</v>
      </c>
      <c r="J35" s="47">
        <f>J21+J22+J23+J24+J25+J26+J27+J28+J29+J30+J31+J32+J33</f>
        <v>2650000</v>
      </c>
      <c r="K35" s="47">
        <f>K21+K22+K23+K24+K25+K26+K27+K28+K29+K30+K31+K32+K33+K34</f>
        <v>41700000</v>
      </c>
      <c r="L35" s="47"/>
      <c r="M35" s="47">
        <f>M21+M22+M23+M24+M25+M26+M27+M28+M29+M30+M31+M32+M33</f>
        <v>81607.23</v>
      </c>
      <c r="N35" s="47">
        <f>N21+N22+N23+N24+N25+N26+N27+N28+N29+N30+N31+N32+N33+N34</f>
        <v>809855.68000000017</v>
      </c>
      <c r="O35" s="47">
        <f>O24+O25+O26+O27+O28+O29+O30+O31+O32+O33+O23+O34</f>
        <v>779713.85</v>
      </c>
      <c r="P35" s="47">
        <f>P21+P22+P23+P24+P25+P26+P27+P28+P29+P30+P31+P32+P33+P34</f>
        <v>111749.06000000001</v>
      </c>
      <c r="Q35" s="186">
        <f>K35+P35</f>
        <v>41811749.060000002</v>
      </c>
    </row>
    <row r="36" spans="1:17" s="3" customFormat="1" ht="20.25" customHeight="1">
      <c r="A36" s="216" t="s">
        <v>21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Q36" s="40"/>
    </row>
    <row r="37" spans="1:17" s="3" customFormat="1" ht="48.75" hidden="1" customHeight="1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Q37" s="40"/>
    </row>
    <row r="38" spans="1:17" s="3" customFormat="1" ht="0.75" hidden="1" customHeight="1">
      <c r="A38" s="67"/>
      <c r="B38" s="202" t="s">
        <v>34</v>
      </c>
      <c r="C38" s="203" t="s">
        <v>30</v>
      </c>
      <c r="D38" s="31" t="s">
        <v>31</v>
      </c>
      <c r="E38" s="32">
        <v>3200000</v>
      </c>
      <c r="F38" s="48">
        <v>40619</v>
      </c>
      <c r="G38" s="34"/>
      <c r="H38" s="35"/>
      <c r="I38" s="36"/>
      <c r="J38" s="69"/>
      <c r="K38" s="50">
        <f>H38-J38</f>
        <v>0</v>
      </c>
      <c r="L38" s="36">
        <v>16</v>
      </c>
      <c r="M38" s="36"/>
      <c r="N38" s="50"/>
      <c r="O38" s="50"/>
      <c r="P38" s="47">
        <f>N38-O38</f>
        <v>0</v>
      </c>
      <c r="Q38" s="50">
        <f>K38+P38</f>
        <v>0</v>
      </c>
    </row>
    <row r="39" spans="1:17" s="3" customFormat="1" ht="36.75" hidden="1" customHeight="1">
      <c r="A39" s="28"/>
      <c r="B39" s="204" t="s">
        <v>34</v>
      </c>
      <c r="C39" s="30" t="s">
        <v>68</v>
      </c>
      <c r="D39" s="31"/>
      <c r="E39" s="32"/>
      <c r="F39" s="48"/>
      <c r="G39" s="34"/>
      <c r="H39" s="35"/>
      <c r="I39" s="36"/>
      <c r="J39" s="69"/>
      <c r="K39" s="36"/>
      <c r="L39" s="36"/>
      <c r="M39" s="36"/>
      <c r="N39" s="50"/>
      <c r="O39" s="50"/>
      <c r="P39" s="47"/>
      <c r="Q39" s="50"/>
    </row>
    <row r="40" spans="1:17" s="3" customFormat="1" ht="41.25" hidden="1" customHeight="1">
      <c r="A40" s="28"/>
      <c r="B40" s="204" t="s">
        <v>37</v>
      </c>
      <c r="C40" s="30" t="s">
        <v>48</v>
      </c>
      <c r="D40" s="31"/>
      <c r="E40" s="32"/>
      <c r="F40" s="48"/>
      <c r="G40" s="34"/>
      <c r="H40" s="35"/>
      <c r="I40" s="36"/>
      <c r="J40" s="69"/>
      <c r="K40" s="50"/>
      <c r="L40" s="50"/>
      <c r="M40" s="36"/>
      <c r="N40" s="50"/>
      <c r="O40" s="50"/>
      <c r="P40" s="47"/>
      <c r="Q40" s="50"/>
    </row>
    <row r="41" spans="1:17" s="3" customFormat="1" ht="53.25" customHeight="1">
      <c r="A41" s="28"/>
      <c r="B41" s="204" t="s">
        <v>37</v>
      </c>
      <c r="C41" s="30" t="s">
        <v>66</v>
      </c>
      <c r="D41" s="31" t="s">
        <v>67</v>
      </c>
      <c r="E41" s="32">
        <v>8000000</v>
      </c>
      <c r="F41" s="48">
        <v>42524</v>
      </c>
      <c r="G41" s="34"/>
      <c r="H41" s="35">
        <v>3537000</v>
      </c>
      <c r="I41" s="36"/>
      <c r="J41" s="69">
        <f>708000+2829000</f>
        <v>3537000</v>
      </c>
      <c r="K41" s="50">
        <f>I41-J41+H41</f>
        <v>0</v>
      </c>
      <c r="L41" s="50">
        <v>13.3</v>
      </c>
      <c r="M41" s="36"/>
      <c r="N41" s="50">
        <f>38558.01+29812.71+31868.76+30840.74+31868.76+2056.05</f>
        <v>165005.03</v>
      </c>
      <c r="O41" s="50">
        <f>38558.01+29812.71+31868.76+30840.74+31868.76+2056.05</f>
        <v>165005.03</v>
      </c>
      <c r="P41" s="47">
        <f>N41-O41</f>
        <v>0</v>
      </c>
      <c r="Q41" s="50">
        <f>K41+P41</f>
        <v>0</v>
      </c>
    </row>
    <row r="42" spans="1:17" s="3" customFormat="1" ht="39.75" customHeight="1">
      <c r="A42" s="28"/>
      <c r="B42" s="204" t="s">
        <v>37</v>
      </c>
      <c r="C42" s="30" t="s">
        <v>71</v>
      </c>
      <c r="D42" s="31" t="s">
        <v>67</v>
      </c>
      <c r="E42" s="32">
        <v>11000000</v>
      </c>
      <c r="F42" s="48">
        <v>42944</v>
      </c>
      <c r="G42" s="34"/>
      <c r="H42" s="35">
        <v>11000000</v>
      </c>
      <c r="I42" s="36">
        <v>0</v>
      </c>
      <c r="J42" s="69">
        <v>1000000</v>
      </c>
      <c r="K42" s="50">
        <f>I42-J42+H42</f>
        <v>10000000</v>
      </c>
      <c r="L42" s="50">
        <v>15.8</v>
      </c>
      <c r="M42" s="36"/>
      <c r="N42" s="50">
        <f>147207.65+137710.38+147207.65+142459.01+147207.66+145912.57+142459.01</f>
        <v>1010163.9300000002</v>
      </c>
      <c r="O42" s="50">
        <f>147207.65+137710.38+147207.65+142459.01+147207.66+145912.57+142459.01</f>
        <v>1010163.9300000002</v>
      </c>
      <c r="P42" s="47">
        <f>N42-O42</f>
        <v>0</v>
      </c>
      <c r="Q42" s="50">
        <f>K42+P42</f>
        <v>10000000</v>
      </c>
    </row>
    <row r="43" spans="1:17" s="3" customFormat="1" ht="45" customHeight="1">
      <c r="A43" s="205"/>
      <c r="B43" s="204" t="s">
        <v>37</v>
      </c>
      <c r="C43" s="30" t="s">
        <v>79</v>
      </c>
      <c r="D43" s="31" t="s">
        <v>67</v>
      </c>
      <c r="E43" s="32">
        <v>8000000</v>
      </c>
      <c r="F43" s="48">
        <v>43075</v>
      </c>
      <c r="G43" s="34"/>
      <c r="H43" s="35">
        <v>8000000</v>
      </c>
      <c r="I43" s="36">
        <v>0</v>
      </c>
      <c r="J43" s="69"/>
      <c r="K43" s="50">
        <f>I43-J43+H43</f>
        <v>8000000</v>
      </c>
      <c r="L43" s="50">
        <v>13.47</v>
      </c>
      <c r="M43" s="36"/>
      <c r="N43" s="50">
        <f>91290.43+85400.72+91290.43+88345.57+91290.43+91290.43+88345.57</f>
        <v>627253.58000000007</v>
      </c>
      <c r="O43" s="50">
        <f>176691.15+91290.43+88345.57+91290.43+91290.43+88345.57</f>
        <v>627253.58000000007</v>
      </c>
      <c r="P43" s="47">
        <f>N43-O43</f>
        <v>0</v>
      </c>
      <c r="Q43" s="50">
        <f>K43+P43</f>
        <v>8000000</v>
      </c>
    </row>
    <row r="44" spans="1:17" s="3" customFormat="1" ht="45" customHeight="1">
      <c r="A44" s="205"/>
      <c r="B44" s="207"/>
      <c r="C44" s="30" t="s">
        <v>89</v>
      </c>
      <c r="D44" s="31" t="s">
        <v>88</v>
      </c>
      <c r="E44" s="32">
        <v>10000000</v>
      </c>
      <c r="F44" s="48">
        <v>43283</v>
      </c>
      <c r="G44" s="34"/>
      <c r="H44" s="35"/>
      <c r="I44" s="36">
        <v>10000000</v>
      </c>
      <c r="J44" s="69"/>
      <c r="K44" s="50">
        <f>I44-J44+H44</f>
        <v>10000000</v>
      </c>
      <c r="L44" s="50">
        <v>16.03</v>
      </c>
      <c r="M44" s="36"/>
      <c r="N44" s="50">
        <v>109494.54</v>
      </c>
      <c r="O44" s="50">
        <v>109494.54</v>
      </c>
      <c r="P44" s="47"/>
      <c r="Q44" s="50">
        <f>K44+P44</f>
        <v>10000000</v>
      </c>
    </row>
    <row r="45" spans="1:17" s="3" customFormat="1" ht="15" customHeight="1">
      <c r="A45" s="68" t="s">
        <v>15</v>
      </c>
      <c r="B45" s="45"/>
      <c r="C45" s="30"/>
      <c r="D45" s="31"/>
      <c r="E45" s="32">
        <f>E40+E41+E41+E42+E43</f>
        <v>35000000</v>
      </c>
      <c r="F45" s="32"/>
      <c r="G45" s="32"/>
      <c r="H45" s="200">
        <f>H40+H41+H42+H43</f>
        <v>22537000</v>
      </c>
      <c r="I45" s="200">
        <f>I40+I41+I42+I43+I44</f>
        <v>10000000</v>
      </c>
      <c r="J45" s="47">
        <f>J40+J41+J42+J43+J44</f>
        <v>4537000</v>
      </c>
      <c r="K45" s="47">
        <f>K40+K41+K42+K43+K44</f>
        <v>28000000</v>
      </c>
      <c r="L45" s="32"/>
      <c r="M45" s="32"/>
      <c r="N45" s="47">
        <f>N40+N41+N39+N42+N43+N44</f>
        <v>1911917.0800000003</v>
      </c>
      <c r="O45" s="47">
        <f>O40+O41+O39+O42+O43+O44</f>
        <v>1911917.0800000003</v>
      </c>
      <c r="P45" s="47">
        <f>P40+P41+P39+P42+P43</f>
        <v>0</v>
      </c>
      <c r="Q45" s="47">
        <f>Q40+Q41+Q42+Q43+Q44</f>
        <v>28000000</v>
      </c>
    </row>
    <row r="46" spans="1:17" s="3" customFormat="1" ht="10.5" customHeight="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Q46" s="40"/>
    </row>
    <row r="47" spans="1:17" s="3" customFormat="1" ht="10.5" customHeight="1">
      <c r="A47" s="28"/>
      <c r="B47" s="29"/>
      <c r="C47" s="30"/>
      <c r="D47" s="31"/>
      <c r="E47" s="32"/>
      <c r="F47" s="33"/>
      <c r="G47" s="34"/>
      <c r="H47" s="35"/>
      <c r="I47" s="36"/>
      <c r="J47" s="37"/>
      <c r="K47" s="36"/>
      <c r="L47" s="36"/>
      <c r="M47" s="36"/>
      <c r="N47" s="36"/>
      <c r="O47" s="36"/>
      <c r="P47" s="36"/>
      <c r="Q47" s="36"/>
    </row>
    <row r="48" spans="1:17" s="3" customFormat="1" ht="12.75" customHeight="1">
      <c r="A48" s="44" t="s">
        <v>15</v>
      </c>
      <c r="B48" s="45"/>
      <c r="C48" s="30"/>
      <c r="D48" s="31"/>
      <c r="E48" s="32"/>
      <c r="F48" s="33"/>
      <c r="G48" s="34"/>
      <c r="H48" s="35"/>
      <c r="I48" s="36"/>
      <c r="J48" s="37"/>
      <c r="K48" s="36"/>
      <c r="L48" s="36"/>
      <c r="M48" s="36"/>
      <c r="N48" s="36"/>
      <c r="O48" s="36"/>
      <c r="P48" s="36"/>
      <c r="Q48" s="36"/>
    </row>
    <row r="49" spans="1:17" s="24" customFormat="1" ht="23.25" customHeight="1">
      <c r="A49" s="218" t="s">
        <v>17</v>
      </c>
      <c r="B49" s="219"/>
      <c r="C49" s="220"/>
      <c r="D49" s="220"/>
      <c r="E49" s="220"/>
      <c r="F49" s="221"/>
      <c r="G49" s="23"/>
      <c r="H49" s="57">
        <f>H35+H45</f>
        <v>61887000</v>
      </c>
      <c r="I49" s="57">
        <f>I35+I45</f>
        <v>15000000</v>
      </c>
      <c r="J49" s="56">
        <f>J35+J45</f>
        <v>7187000</v>
      </c>
      <c r="K49" s="56">
        <f>K35+K45</f>
        <v>69700000</v>
      </c>
      <c r="L49" s="58"/>
      <c r="M49" s="56">
        <f>M35+M45</f>
        <v>81607.23</v>
      </c>
      <c r="N49" s="56">
        <f>N35+N45</f>
        <v>2721772.7600000007</v>
      </c>
      <c r="O49" s="56">
        <f>O35+O45</f>
        <v>2691630.93</v>
      </c>
      <c r="P49" s="56">
        <f>P35+P45</f>
        <v>111749.06000000001</v>
      </c>
      <c r="Q49" s="187">
        <f>Q35+Q45</f>
        <v>69811749.060000002</v>
      </c>
    </row>
    <row r="50" spans="1:17" ht="10.5" customHeight="1">
      <c r="A50" s="18"/>
      <c r="B50" s="25"/>
      <c r="C50" s="19"/>
      <c r="D50" s="19"/>
      <c r="E50" s="20"/>
      <c r="F50" s="22"/>
      <c r="G50" s="22"/>
      <c r="H50" s="26"/>
      <c r="I50" s="27"/>
      <c r="J50" s="27"/>
      <c r="K50" s="26"/>
      <c r="L50" s="26"/>
      <c r="M50" s="26"/>
      <c r="N50" s="26"/>
      <c r="O50" s="26"/>
      <c r="P50" s="26"/>
      <c r="Q50" s="26"/>
    </row>
    <row r="51" spans="1:17">
      <c r="N51" s="71"/>
    </row>
    <row r="52" spans="1:17" ht="17.25" customHeight="1">
      <c r="B52" s="208" t="s">
        <v>50</v>
      </c>
      <c r="C52" s="209"/>
      <c r="D52" s="209"/>
      <c r="E52" s="210"/>
      <c r="F52" s="211"/>
      <c r="G52" s="211"/>
      <c r="H52" s="212"/>
      <c r="I52" s="213"/>
      <c r="J52" s="213"/>
      <c r="K52" s="213"/>
    </row>
    <row r="55" spans="1:17" ht="15.75">
      <c r="B55" s="208" t="s">
        <v>74</v>
      </c>
      <c r="C55" s="214"/>
      <c r="D55" s="214"/>
      <c r="E55" s="214"/>
      <c r="F55" s="214"/>
      <c r="G55" s="214"/>
      <c r="H55" s="214"/>
      <c r="I55" s="214"/>
      <c r="J55" s="214"/>
      <c r="K55" s="214"/>
    </row>
    <row r="57" spans="1:17" ht="25.5">
      <c r="B57" s="201"/>
      <c r="C57" s="5" t="s">
        <v>27</v>
      </c>
    </row>
    <row r="69" spans="3:3" ht="16.5" customHeight="1"/>
    <row r="70" spans="3:3" ht="30" customHeight="1">
      <c r="C70" s="21"/>
    </row>
  </sheetData>
  <mergeCells count="12">
    <mergeCell ref="B52:K52"/>
    <mergeCell ref="B55:K55"/>
    <mergeCell ref="L1:Q2"/>
    <mergeCell ref="A46:M46"/>
    <mergeCell ref="A49:F49"/>
    <mergeCell ref="N5:O5"/>
    <mergeCell ref="A36:M36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A3" workbookViewId="0">
      <selection activeCell="N19" sqref="N19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0" t="s">
        <v>35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  <c r="P1" s="232"/>
      <c r="Q1" s="232"/>
    </row>
    <row r="2" spans="1:17" ht="15">
      <c r="A2" s="1"/>
      <c r="B2" s="2"/>
      <c r="C2" s="2"/>
      <c r="D2" s="224" t="s">
        <v>90</v>
      </c>
      <c r="E2" s="225"/>
      <c r="F2" s="225"/>
      <c r="G2" s="225"/>
      <c r="H2" s="225"/>
      <c r="I2" s="225"/>
      <c r="J2" s="225"/>
      <c r="K2" s="225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2" t="s">
        <v>22</v>
      </c>
      <c r="O3" s="222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6"/>
      <c r="G5" s="226"/>
      <c r="H5" s="226"/>
      <c r="I5" s="226"/>
      <c r="J5" s="226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6" t="s">
        <v>19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7" t="s">
        <v>20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5.92+6.12+544.29+5.92</f>
        <v>562.24999999999989</v>
      </c>
      <c r="P16" s="50">
        <f>N16-O16+M16</f>
        <v>-5.9199999999998454</v>
      </c>
      <c r="Q16" s="50">
        <f>K16+P16</f>
        <v>-5.9199999999998454</v>
      </c>
    </row>
    <row r="17" spans="1:17" ht="105">
      <c r="A17" s="61" t="s">
        <v>51</v>
      </c>
      <c r="B17" s="29" t="s">
        <v>24</v>
      </c>
      <c r="C17" s="30" t="s">
        <v>85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22000+11000+22000</f>
        <v>55000</v>
      </c>
      <c r="K17" s="36">
        <f>H17-J17+I17</f>
        <v>559000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1635.44+2045.35+1912.09+40.83+250.07+1912.09+82.56+250.07+1887.78+85.31+250.07+1784.11+82.56+72.6+1791.04+85.31+48.4</f>
        <v>14215.68</v>
      </c>
      <c r="O17" s="50">
        <f>1912.09+250.07+82.56+85.31+250.07+1887.78+82.56+1784.11+72.6</f>
        <v>6407.1500000000005</v>
      </c>
      <c r="P17" s="50">
        <f>N17-O17+M17</f>
        <v>9430.15</v>
      </c>
      <c r="Q17" s="50">
        <f>K17+P17</f>
        <v>568430.15</v>
      </c>
    </row>
    <row r="18" spans="1:17" ht="105">
      <c r="A18" s="61"/>
      <c r="B18" s="29" t="s">
        <v>24</v>
      </c>
      <c r="C18" s="30" t="s">
        <v>81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33000+16500+33000</f>
        <v>82500</v>
      </c>
      <c r="K18" s="36">
        <f>H18-J18+I18</f>
        <v>1417500</v>
      </c>
      <c r="L18" s="69">
        <v>2.75</v>
      </c>
      <c r="M18" s="50">
        <v>1017.12</v>
      </c>
      <c r="N18" s="50">
        <f>3503.42+4837.32+4671.23+466.03+72.06+4520.55+451+160.24+4634.77+466.03+165.58+4411.15+451+160.24+4497.19+375.1+165.58</f>
        <v>34008.490000000005</v>
      </c>
      <c r="O18" s="50">
        <f>4520.55+451+160.24+466.03+165.58+4634.77+160.24+451+4411.15</f>
        <v>15420.56</v>
      </c>
      <c r="P18" s="50">
        <f>N18-O18+M18</f>
        <v>19605.050000000007</v>
      </c>
      <c r="Q18" s="50">
        <f>K18+P18</f>
        <v>1437105.05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J16+J17+J18</f>
        <v>137500</v>
      </c>
      <c r="K19" s="47">
        <f>K16+K17+K18</f>
        <v>1976500</v>
      </c>
      <c r="L19" s="47"/>
      <c r="M19" s="47">
        <f>M16+M17+M18</f>
        <v>3165.08</v>
      </c>
      <c r="N19" s="47">
        <f>N16+N17+N18</f>
        <v>48254.16</v>
      </c>
      <c r="O19" s="47">
        <f>O16+O17+O18</f>
        <v>22389.96</v>
      </c>
      <c r="P19" s="47">
        <f>P16+P17+P18</f>
        <v>29029.280000000006</v>
      </c>
      <c r="Q19" s="47">
        <f>Q16+Q17+Q18</f>
        <v>2005529.28</v>
      </c>
    </row>
    <row r="20" spans="1:17" ht="15">
      <c r="A20" s="216" t="s">
        <v>21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8" t="s">
        <v>17</v>
      </c>
      <c r="B29" s="219"/>
      <c r="C29" s="220"/>
      <c r="D29" s="220"/>
      <c r="E29" s="220"/>
      <c r="F29" s="221"/>
      <c r="G29" s="23"/>
      <c r="H29" s="57">
        <f>H19+H25</f>
        <v>2114000</v>
      </c>
      <c r="I29" s="57">
        <f>I19+I25</f>
        <v>0</v>
      </c>
      <c r="J29" s="56">
        <f>J19+J25</f>
        <v>137500</v>
      </c>
      <c r="K29" s="56">
        <f>K19+K25</f>
        <v>1976500</v>
      </c>
      <c r="L29" s="58"/>
      <c r="M29" s="57">
        <v>371.58</v>
      </c>
      <c r="N29" s="56">
        <f>N19+N25</f>
        <v>48254.16</v>
      </c>
      <c r="O29" s="56">
        <f>O19+O25</f>
        <v>22389.96</v>
      </c>
      <c r="P29" s="56">
        <f>P19+P25</f>
        <v>29029.280000000006</v>
      </c>
      <c r="Q29" s="56">
        <f>Q19+Q25</f>
        <v>2005529.28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8" t="s">
        <v>53</v>
      </c>
      <c r="C32" s="209"/>
      <c r="D32" s="209"/>
      <c r="E32" s="210"/>
      <c r="F32" s="211"/>
      <c r="G32" s="211"/>
      <c r="H32" s="212"/>
      <c r="I32" s="213"/>
      <c r="J32" s="213"/>
      <c r="K32" s="213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8" t="s">
        <v>72</v>
      </c>
      <c r="C35" s="214"/>
      <c r="D35" s="214"/>
      <c r="E35" s="214"/>
      <c r="F35" s="214"/>
      <c r="G35" s="214"/>
      <c r="H35" s="214"/>
      <c r="I35" s="214"/>
      <c r="J35" s="214"/>
      <c r="K35" s="214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J17" sqref="J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0" t="s">
        <v>36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  <c r="P1" s="232"/>
      <c r="Q1" s="232"/>
    </row>
    <row r="2" spans="1:17" ht="15">
      <c r="A2" s="1"/>
      <c r="B2" s="2"/>
      <c r="C2" s="2"/>
      <c r="D2" s="224" t="s">
        <v>91</v>
      </c>
      <c r="E2" s="225"/>
      <c r="F2" s="225"/>
      <c r="G2" s="225"/>
      <c r="H2" s="225"/>
      <c r="I2" s="225"/>
      <c r="J2" s="225"/>
      <c r="K2" s="225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2" t="s">
        <v>22</v>
      </c>
      <c r="O3" s="222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6"/>
      <c r="G5" s="226"/>
      <c r="H5" s="226"/>
      <c r="I5" s="226"/>
      <c r="J5" s="226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6" t="s">
        <v>19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7" t="s">
        <v>20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14000+14000+14000+14000+14000+14000</f>
        <v>84000</v>
      </c>
      <c r="K16" s="36">
        <f>H16-J16+I16</f>
        <v>122000</v>
      </c>
      <c r="L16" s="69">
        <v>2.75</v>
      </c>
      <c r="M16" s="50">
        <v>510.97</v>
      </c>
      <c r="N16" s="50">
        <f>500.12+752.48+589.48+159.13+8.47+536.44+154+14.3+517.75+159.13+5.45+442.21+46.2+20.43+410.87+35.93+50.2</f>
        <v>4402.59</v>
      </c>
      <c r="O16" s="50">
        <f>510.97+152.35+154+14.3+536.44+517.75+159.13+5.45+61.45+20.43+2284.29</f>
        <v>4416.5599999999995</v>
      </c>
      <c r="P16" s="50">
        <f>M16+N16-O16</f>
        <v>497.00000000000091</v>
      </c>
      <c r="Q16" s="50">
        <f>K16+P16</f>
        <v>122497</v>
      </c>
    </row>
    <row r="17" spans="1:17" ht="105">
      <c r="A17" s="28"/>
      <c r="B17" s="29" t="s">
        <v>24</v>
      </c>
      <c r="C17" s="30" t="s">
        <v>80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f>20000+20000+20000+20000</f>
        <v>80000</v>
      </c>
      <c r="K17" s="36">
        <f>H17-J17+I17</f>
        <v>620000</v>
      </c>
      <c r="L17" s="69">
        <v>2.75</v>
      </c>
      <c r="M17" s="50">
        <v>474.66</v>
      </c>
      <c r="N17" s="50">
        <f>1634.93+2263.33+5856.62+227.39+28.29+-1639.45+220+107.65+2091.51+227.33+23.9+2041.28+51.33+89.62+1974.98+51.33+40.26</f>
        <v>15290.300000000001</v>
      </c>
      <c r="O17" s="50">
        <f>474.66+224.06+107.65+220+2091.51+227.33+23.9+82.95+89.62</f>
        <v>3541.68</v>
      </c>
      <c r="P17" s="50">
        <f>M17+N17-O17</f>
        <v>12223.28</v>
      </c>
      <c r="Q17" s="50">
        <f>K17+P17</f>
        <v>632223.28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164000</v>
      </c>
      <c r="K20" s="47">
        <f t="shared" ref="K20:Q20" si="0">K16+K18+K19+K17</f>
        <v>742000</v>
      </c>
      <c r="L20" s="47">
        <f t="shared" si="0"/>
        <v>5.5</v>
      </c>
      <c r="M20" s="47">
        <f t="shared" si="0"/>
        <v>985.63000000000011</v>
      </c>
      <c r="N20" s="47">
        <f t="shared" si="0"/>
        <v>19692.89</v>
      </c>
      <c r="O20" s="47">
        <f t="shared" si="0"/>
        <v>7958.24</v>
      </c>
      <c r="P20" s="47">
        <f t="shared" si="0"/>
        <v>12720.280000000002</v>
      </c>
      <c r="Q20" s="47">
        <f t="shared" si="0"/>
        <v>754720.28</v>
      </c>
    </row>
    <row r="21" spans="1:17" ht="15">
      <c r="A21" s="216" t="s">
        <v>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8" t="s">
        <v>17</v>
      </c>
      <c r="B30" s="219"/>
      <c r="C30" s="220"/>
      <c r="D30" s="220"/>
      <c r="E30" s="220"/>
      <c r="F30" s="221"/>
      <c r="G30" s="23"/>
      <c r="H30" s="57">
        <f>H20+H26</f>
        <v>906000</v>
      </c>
      <c r="I30" s="57">
        <f>I20+I26</f>
        <v>0</v>
      </c>
      <c r="J30" s="56">
        <f>J20+J26</f>
        <v>164000</v>
      </c>
      <c r="K30" s="56">
        <f>K20+K26</f>
        <v>742000</v>
      </c>
      <c r="L30" s="58"/>
      <c r="M30" s="57">
        <f>M20</f>
        <v>985.63000000000011</v>
      </c>
      <c r="N30" s="56">
        <f>N20+N26</f>
        <v>19692.89</v>
      </c>
      <c r="O30" s="56">
        <f>O20+O26</f>
        <v>7958.24</v>
      </c>
      <c r="P30" s="56">
        <f>P20+P26</f>
        <v>12720.280000000002</v>
      </c>
      <c r="Q30" s="56">
        <f>Q20+Q26</f>
        <v>754720.28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8" t="s">
        <v>55</v>
      </c>
      <c r="C33" s="209"/>
      <c r="D33" s="209"/>
      <c r="E33" s="210"/>
      <c r="F33" s="211"/>
      <c r="G33" s="211"/>
      <c r="H33" s="212"/>
      <c r="I33" s="213"/>
      <c r="J33" s="213"/>
      <c r="K33" s="213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8" t="s">
        <v>73</v>
      </c>
      <c r="C36" s="214"/>
      <c r="D36" s="214"/>
      <c r="E36" s="214"/>
      <c r="F36" s="214"/>
      <c r="G36" s="214"/>
      <c r="H36" s="214"/>
      <c r="I36" s="214"/>
      <c r="J36" s="214"/>
      <c r="K36" s="214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8" t="s">
        <v>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50"/>
      <c r="P1" s="250"/>
      <c r="Q1" s="250"/>
    </row>
    <row r="2" spans="1:17" ht="20.25">
      <c r="A2" s="74"/>
      <c r="B2" s="75"/>
      <c r="C2" s="75"/>
      <c r="D2" s="251" t="s">
        <v>87</v>
      </c>
      <c r="E2" s="252"/>
      <c r="F2" s="252"/>
      <c r="G2" s="252"/>
      <c r="H2" s="252"/>
      <c r="I2" s="252"/>
      <c r="J2" s="252"/>
      <c r="K2" s="252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3" t="s">
        <v>22</v>
      </c>
      <c r="O3" s="253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4"/>
      <c r="G5" s="254"/>
      <c r="H5" s="254"/>
      <c r="I5" s="254"/>
      <c r="J5" s="254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7" t="s">
        <v>19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5" t="s">
        <v>20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26000+26000+26000</f>
        <v>78000</v>
      </c>
      <c r="K15" s="97">
        <f>H15-J15+I15</f>
        <v>93000</v>
      </c>
      <c r="L15" s="107">
        <v>2.75</v>
      </c>
      <c r="M15" s="107">
        <v>939.82</v>
      </c>
      <c r="N15" s="107">
        <f>543.8+678.63+532.52+181.87+16.65+515.34+176+22.28+503.79+181.87+22.28+418.7+46.93+31.83+347.08+41.07+32.89</f>
        <v>4293.53</v>
      </c>
      <c r="O15" s="107">
        <f>713.62+503.79+181.87+22.28+497.46</f>
        <v>1919.0200000000002</v>
      </c>
      <c r="P15" s="107">
        <f>M15+N15-O15</f>
        <v>3314.329999999999</v>
      </c>
      <c r="Q15" s="107">
        <f>K15+P15</f>
        <v>96314.33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78000</v>
      </c>
      <c r="K18" s="103">
        <f t="shared" si="0"/>
        <v>93000</v>
      </c>
      <c r="L18" s="103"/>
      <c r="M18" s="103">
        <f t="shared" si="0"/>
        <v>939.82</v>
      </c>
      <c r="N18" s="103">
        <f t="shared" si="0"/>
        <v>4293.53</v>
      </c>
      <c r="O18" s="103">
        <f t="shared" si="0"/>
        <v>1919.0200000000002</v>
      </c>
      <c r="P18" s="103">
        <f t="shared" si="0"/>
        <v>3314.329999999999</v>
      </c>
      <c r="Q18" s="103">
        <f t="shared" si="0"/>
        <v>96314.33</v>
      </c>
    </row>
    <row r="19" spans="1:17" ht="20.25">
      <c r="A19" s="237" t="s">
        <v>21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0" t="s">
        <v>17</v>
      </c>
      <c r="B28" s="241"/>
      <c r="C28" s="242"/>
      <c r="D28" s="242"/>
      <c r="E28" s="242"/>
      <c r="F28" s="243"/>
      <c r="G28" s="118"/>
      <c r="H28" s="119">
        <f>H18+H24</f>
        <v>171000</v>
      </c>
      <c r="I28" s="119">
        <f>I18+I24</f>
        <v>0</v>
      </c>
      <c r="J28" s="120">
        <f>J18+J24</f>
        <v>78000</v>
      </c>
      <c r="K28" s="120">
        <f>K18+K24</f>
        <v>93000</v>
      </c>
      <c r="L28" s="121"/>
      <c r="M28" s="119">
        <f>M18</f>
        <v>939.82</v>
      </c>
      <c r="N28" s="120">
        <f>N18+N24</f>
        <v>4293.53</v>
      </c>
      <c r="O28" s="120">
        <f>O18+O24</f>
        <v>1919.0200000000002</v>
      </c>
      <c r="P28" s="107">
        <f>M28+N28-O28</f>
        <v>3314.329999999999</v>
      </c>
      <c r="Q28" s="120">
        <f>Q18+Q24</f>
        <v>96314.33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3" t="s">
        <v>52</v>
      </c>
      <c r="C31" s="244"/>
      <c r="D31" s="244"/>
      <c r="E31" s="245"/>
      <c r="F31" s="246"/>
      <c r="G31" s="246"/>
      <c r="H31" s="247"/>
      <c r="I31" s="234"/>
      <c r="J31" s="234"/>
      <c r="K31" s="234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3" t="s">
        <v>74</v>
      </c>
      <c r="C34" s="234"/>
      <c r="D34" s="234"/>
      <c r="E34" s="234"/>
      <c r="F34" s="234"/>
      <c r="G34" s="234"/>
      <c r="H34" s="234"/>
      <c r="I34" s="234"/>
      <c r="J34" s="234"/>
      <c r="K34" s="234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0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71"/>
      <c r="P1" s="271"/>
      <c r="Q1" s="271"/>
    </row>
    <row r="2" spans="1:17" ht="18.75">
      <c r="A2" s="130"/>
      <c r="B2" s="131"/>
      <c r="C2" s="131"/>
      <c r="D2" s="272" t="s">
        <v>92</v>
      </c>
      <c r="E2" s="273"/>
      <c r="F2" s="273"/>
      <c r="G2" s="273"/>
      <c r="H2" s="273"/>
      <c r="I2" s="273"/>
      <c r="J2" s="273"/>
      <c r="K2" s="273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4" t="s">
        <v>22</v>
      </c>
      <c r="O3" s="274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5"/>
      <c r="G5" s="275"/>
      <c r="H5" s="275"/>
      <c r="I5" s="275"/>
      <c r="J5" s="275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8" t="s">
        <v>20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1170.32+1685.32+1429.4+352.37+33.42+1383.29+341+67.72+1429.4+341+90.34+1383.29+341+107.9+1429.4+352.37+41.98</f>
        <v>11979.519999999999</v>
      </c>
      <c r="O15" s="163">
        <v>7948.06</v>
      </c>
      <c r="P15" s="163">
        <f>N15-O15+M15</f>
        <v>5516.6899999999987</v>
      </c>
      <c r="Q15" s="163">
        <f>K15+M15+N15-O15</f>
        <v>464516.69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11979.519999999999</v>
      </c>
      <c r="O18" s="159">
        <f t="shared" si="0"/>
        <v>7948.06</v>
      </c>
      <c r="P18" s="159">
        <f t="shared" si="0"/>
        <v>5516.6899999999987</v>
      </c>
      <c r="Q18" s="159">
        <f t="shared" si="0"/>
        <v>464516.69</v>
      </c>
    </row>
    <row r="19" spans="1:17" ht="18.75">
      <c r="A19" s="260" t="s">
        <v>21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3" t="s">
        <v>17</v>
      </c>
      <c r="B28" s="264"/>
      <c r="C28" s="265"/>
      <c r="D28" s="265"/>
      <c r="E28" s="265"/>
      <c r="F28" s="266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11979.519999999999</v>
      </c>
      <c r="O28" s="176">
        <f>O18+O24</f>
        <v>7948.06</v>
      </c>
      <c r="P28" s="176">
        <f>P18+P24</f>
        <v>5516.6899999999987</v>
      </c>
      <c r="Q28" s="176">
        <f>K28+P28</f>
        <v>464516.69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6" t="s">
        <v>52</v>
      </c>
      <c r="C31" s="267"/>
      <c r="D31" s="267"/>
      <c r="E31" s="268"/>
      <c r="F31" s="269"/>
      <c r="G31" s="269"/>
      <c r="H31" s="270"/>
      <c r="I31" s="257"/>
      <c r="J31" s="257"/>
      <c r="K31" s="257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6" t="s">
        <v>75</v>
      </c>
      <c r="C34" s="257"/>
      <c r="D34" s="257"/>
      <c r="E34" s="257"/>
      <c r="F34" s="257"/>
      <c r="G34" s="257"/>
      <c r="H34" s="257"/>
      <c r="I34" s="257"/>
      <c r="J34" s="257"/>
      <c r="K34" s="257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0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71"/>
      <c r="P1" s="271"/>
      <c r="Q1" s="271"/>
    </row>
    <row r="2" spans="1:17" ht="18.75">
      <c r="A2" s="130"/>
      <c r="B2" s="131"/>
      <c r="C2" s="131"/>
      <c r="D2" s="272" t="s">
        <v>91</v>
      </c>
      <c r="E2" s="273"/>
      <c r="F2" s="273"/>
      <c r="G2" s="273"/>
      <c r="H2" s="273"/>
      <c r="I2" s="273"/>
      <c r="J2" s="273"/>
      <c r="K2" s="273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4" t="s">
        <v>22</v>
      </c>
      <c r="O3" s="274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5"/>
      <c r="G5" s="275"/>
      <c r="H5" s="275"/>
      <c r="I5" s="275"/>
      <c r="J5" s="275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8" t="s">
        <v>20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</f>
        <v>24462</v>
      </c>
      <c r="K15" s="153">
        <f>H15-J15+I15</f>
        <v>186768</v>
      </c>
      <c r="L15" s="163">
        <v>2.75</v>
      </c>
      <c r="M15" s="163">
        <v>536.63</v>
      </c>
      <c r="N15" s="163">
        <f>567.43+709.77+635.69+9.83+92.68+612.01+22.17+89.69+632.41+31.14+92.68+587.44+24.4+89.69+581.62+33.19+92.68</f>
        <v>4904.5199999999986</v>
      </c>
      <c r="O15" s="163">
        <f>536.63+1108.71+156.21+12.28</f>
        <v>1813.8300000000002</v>
      </c>
      <c r="P15" s="163">
        <f>N15-O15+M15</f>
        <v>3627.3199999999988</v>
      </c>
      <c r="Q15" s="163">
        <f>K15+P15</f>
        <v>190395.32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</f>
        <v>25539</v>
      </c>
      <c r="K16" s="153">
        <f>H16-J16+I16</f>
        <v>235896</v>
      </c>
      <c r="L16" s="163">
        <v>2.75</v>
      </c>
      <c r="M16" s="163">
        <v>655.79</v>
      </c>
      <c r="N16" s="163">
        <f>688.77+861.51+791.06+8.13+96.76+762.23+26.91+93.64+787.64+37.84+96.76+736.58+29.71+93.64+736.58+40.48+93.64</f>
        <v>5981.880000000001</v>
      </c>
      <c r="O16" s="163">
        <f>655.79+163.09+1372.23+14.96</f>
        <v>2206.0700000000002</v>
      </c>
      <c r="P16" s="163">
        <f>N16-O16+M16</f>
        <v>4431.6000000000004</v>
      </c>
      <c r="Q16" s="163">
        <f>K16+P16</f>
        <v>240327.6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50001</v>
      </c>
      <c r="K18" s="159">
        <f t="shared" si="0"/>
        <v>422664</v>
      </c>
      <c r="L18" s="159"/>
      <c r="M18" s="159">
        <f t="shared" si="0"/>
        <v>1192.42</v>
      </c>
      <c r="N18" s="159">
        <f t="shared" si="0"/>
        <v>10886.4</v>
      </c>
      <c r="O18" s="159">
        <f t="shared" si="0"/>
        <v>4019.9000000000005</v>
      </c>
      <c r="P18" s="159">
        <f t="shared" si="0"/>
        <v>8058.9199999999992</v>
      </c>
      <c r="Q18" s="159">
        <f t="shared" si="0"/>
        <v>430722.92000000004</v>
      </c>
    </row>
    <row r="19" spans="1:17" ht="18.75">
      <c r="A19" s="260" t="s">
        <v>21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3" t="s">
        <v>17</v>
      </c>
      <c r="B28" s="264"/>
      <c r="C28" s="265"/>
      <c r="D28" s="265"/>
      <c r="E28" s="265"/>
      <c r="F28" s="266"/>
      <c r="G28" s="174"/>
      <c r="H28" s="175">
        <f>H18+H24</f>
        <v>472665</v>
      </c>
      <c r="I28" s="175">
        <f>I18+I24</f>
        <v>0</v>
      </c>
      <c r="J28" s="176">
        <f>J18+J24</f>
        <v>50001</v>
      </c>
      <c r="K28" s="176">
        <f>K18+K24</f>
        <v>422664</v>
      </c>
      <c r="L28" s="58"/>
      <c r="M28" s="176">
        <f>M18+M24</f>
        <v>1192.42</v>
      </c>
      <c r="N28" s="176">
        <f>N18+N24</f>
        <v>10886.4</v>
      </c>
      <c r="O28" s="176">
        <f>O18+O24</f>
        <v>4019.9000000000005</v>
      </c>
      <c r="P28" s="176">
        <f>P18+P24</f>
        <v>8058.9199999999992</v>
      </c>
      <c r="Q28" s="176">
        <f>Q18+Q24</f>
        <v>430722.92000000004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6" t="s">
        <v>61</v>
      </c>
      <c r="C31" s="267"/>
      <c r="D31" s="267"/>
      <c r="E31" s="268"/>
      <c r="F31" s="269"/>
      <c r="G31" s="269"/>
      <c r="H31" s="270"/>
      <c r="I31" s="257"/>
      <c r="J31" s="257"/>
      <c r="K31" s="257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6" t="s">
        <v>73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D2" sqref="D2:K2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8" t="s">
        <v>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50"/>
      <c r="P1" s="250"/>
      <c r="Q1" s="250"/>
    </row>
    <row r="2" spans="1:17" ht="20.25">
      <c r="A2" s="74"/>
      <c r="B2" s="75"/>
      <c r="C2" s="75"/>
      <c r="D2" s="277" t="s">
        <v>87</v>
      </c>
      <c r="E2" s="278"/>
      <c r="F2" s="278"/>
      <c r="G2" s="278"/>
      <c r="H2" s="278"/>
      <c r="I2" s="278"/>
      <c r="J2" s="278"/>
      <c r="K2" s="278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3" t="s">
        <v>22</v>
      </c>
      <c r="O3" s="253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4"/>
      <c r="G5" s="254"/>
      <c r="H5" s="254"/>
      <c r="I5" s="254"/>
      <c r="J5" s="254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7" t="s">
        <v>19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5" t="s">
        <v>20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429501</v>
      </c>
      <c r="K16" s="97">
        <f>Лист2!K19+Лист3!K30+Лист4!K28+Лист5!K28+Лист6!K28</f>
        <v>3693164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95106.5</v>
      </c>
      <c r="O16" s="107">
        <f>Лист2!O19+Лист3!O30+Лист4!O28+Лист5!O28+Лист6!O28</f>
        <v>44235.18</v>
      </c>
      <c r="P16" s="107">
        <f>M16+N16-O16</f>
        <v>58639.499999999993</v>
      </c>
      <c r="Q16" s="107">
        <f>K16+P16</f>
        <v>3751803.5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429501</v>
      </c>
      <c r="K19" s="103">
        <f t="shared" si="0"/>
        <v>3693164</v>
      </c>
      <c r="L19" s="103">
        <f t="shared" si="0"/>
        <v>0</v>
      </c>
      <c r="M19" s="103">
        <f t="shared" si="0"/>
        <v>7768.18</v>
      </c>
      <c r="N19" s="103">
        <f t="shared" si="0"/>
        <v>95106.5</v>
      </c>
      <c r="O19" s="103">
        <f t="shared" si="0"/>
        <v>44235.18</v>
      </c>
      <c r="P19" s="103">
        <f t="shared" si="0"/>
        <v>58639.499999999993</v>
      </c>
      <c r="Q19" s="103">
        <f t="shared" si="0"/>
        <v>3751803.5</v>
      </c>
    </row>
    <row r="20" spans="1:17" ht="20.25">
      <c r="A20" s="237" t="s">
        <v>21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7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8" t="s">
        <v>17</v>
      </c>
      <c r="B29" s="219"/>
      <c r="C29" s="220"/>
      <c r="D29" s="220"/>
      <c r="E29" s="220"/>
      <c r="F29" s="221"/>
      <c r="G29" s="23"/>
      <c r="H29" s="57">
        <f>H19+H25</f>
        <v>4122665</v>
      </c>
      <c r="I29" s="57">
        <f>I19+I25</f>
        <v>0</v>
      </c>
      <c r="J29" s="56">
        <f>J19+J25</f>
        <v>429501</v>
      </c>
      <c r="K29" s="56">
        <f>K19+K25</f>
        <v>3693164</v>
      </c>
      <c r="L29" s="58"/>
      <c r="M29" s="56">
        <f>M19+M25</f>
        <v>7768.18</v>
      </c>
      <c r="N29" s="56">
        <f>N19+N25</f>
        <v>95106.5</v>
      </c>
      <c r="O29" s="56">
        <f>O19+O25</f>
        <v>44235.18</v>
      </c>
      <c r="P29" s="56">
        <f>P19+P25</f>
        <v>58639.499999999993</v>
      </c>
      <c r="Q29" s="56">
        <f>Q19+Q25</f>
        <v>3751803.5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2016-07-22T08:14:36Z</cp:lastPrinted>
  <dcterms:created xsi:type="dcterms:W3CDTF">2006-06-05T06:40:26Z</dcterms:created>
  <dcterms:modified xsi:type="dcterms:W3CDTF">2016-08-05T05:54:04Z</dcterms:modified>
</cp:coreProperties>
</file>