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3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32" i="2"/>
  <c r="P31"/>
  <c r="P28"/>
  <c r="P18" i="5"/>
  <c r="P17" l="1"/>
  <c r="P16"/>
  <c r="P15"/>
  <c r="P18" i="3"/>
  <c r="P16"/>
  <c r="P17"/>
  <c r="P15"/>
  <c r="P16" i="6"/>
  <c r="Q17" i="4" l="1"/>
  <c r="Q16" i="6"/>
  <c r="Q18" i="5"/>
  <c r="Q17"/>
  <c r="Q15"/>
  <c r="Q16"/>
  <c r="L37" i="2"/>
  <c r="Q45"/>
  <c r="P45"/>
  <c r="Q44"/>
  <c r="P44"/>
  <c r="Q43"/>
  <c r="P43"/>
  <c r="Q42"/>
  <c r="P42"/>
  <c r="Q28"/>
  <c r="Q31"/>
  <c r="Q32"/>
  <c r="L42"/>
  <c r="P17" i="4" l="1"/>
  <c r="E19" i="9" l="1"/>
  <c r="F19"/>
  <c r="F22" s="1"/>
  <c r="G19"/>
  <c r="H19"/>
  <c r="I19"/>
  <c r="J19"/>
  <c r="J22" s="1"/>
  <c r="K19"/>
  <c r="N19"/>
  <c r="N22" s="1"/>
  <c r="O19"/>
  <c r="D19"/>
  <c r="E15"/>
  <c r="F15"/>
  <c r="G15"/>
  <c r="G22" s="1"/>
  <c r="H15"/>
  <c r="H22" s="1"/>
  <c r="I15"/>
  <c r="J15"/>
  <c r="K15"/>
  <c r="K22" s="1"/>
  <c r="N15"/>
  <c r="O15"/>
  <c r="O22" s="1"/>
  <c r="D15"/>
  <c r="D22" s="1"/>
  <c r="R18"/>
  <c r="M18"/>
  <c r="L17" i="4"/>
  <c r="Q46" i="2"/>
  <c r="Q19" i="9" s="1"/>
  <c r="P46" i="2"/>
  <c r="P19" i="9" s="1"/>
  <c r="R45" i="2"/>
  <c r="I46"/>
  <c r="J46"/>
  <c r="K46"/>
  <c r="L46"/>
  <c r="L19" i="9" s="1"/>
  <c r="H46" i="2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M21"/>
  <c r="O19"/>
  <c r="O25" s="1"/>
  <c r="N19"/>
  <c r="N25" s="1"/>
  <c r="L19"/>
  <c r="L25" s="1"/>
  <c r="K19"/>
  <c r="K25" s="1"/>
  <c r="J19"/>
  <c r="I19"/>
  <c r="I25" s="1"/>
  <c r="H19"/>
  <c r="H25" s="1"/>
  <c r="D19"/>
  <c r="D25" s="1"/>
  <c r="R18"/>
  <c r="M18"/>
  <c r="R17"/>
  <c r="M17"/>
  <c r="R16"/>
  <c r="M16"/>
  <c r="Q19"/>
  <c r="R15"/>
  <c r="M15"/>
  <c r="I49" i="2"/>
  <c r="I22" i="9" l="1"/>
  <c r="E22"/>
  <c r="R19" i="8"/>
  <c r="R25" s="1"/>
  <c r="M19"/>
  <c r="P19"/>
  <c r="M45" i="2" l="1"/>
  <c r="M44"/>
  <c r="D46"/>
  <c r="Q36"/>
  <c r="Q35"/>
  <c r="Q34"/>
  <c r="L43" l="1"/>
  <c r="R44" l="1"/>
  <c r="Q23"/>
  <c r="Q22"/>
  <c r="Q20"/>
  <c r="Q19"/>
  <c r="O32"/>
  <c r="O31"/>
  <c r="O28"/>
  <c r="O23"/>
  <c r="P23"/>
  <c r="O22"/>
  <c r="P22"/>
  <c r="O20"/>
  <c r="P20"/>
  <c r="O19"/>
  <c r="P19"/>
  <c r="L39"/>
  <c r="M37"/>
  <c r="J36"/>
  <c r="J35"/>
  <c r="J32"/>
  <c r="J28"/>
  <c r="J31"/>
  <c r="J23"/>
  <c r="J22"/>
  <c r="J19"/>
  <c r="J39" s="1"/>
  <c r="J20"/>
  <c r="R37"/>
  <c r="Q39" l="1"/>
  <c r="P39"/>
  <c r="M43" l="1"/>
  <c r="M42"/>
  <c r="M46" s="1"/>
  <c r="M19" i="9" s="1"/>
  <c r="H39" i="2"/>
  <c r="Q18" i="4"/>
  <c r="O39" i="2" l="1"/>
  <c r="R36"/>
  <c r="M36" l="1"/>
  <c r="D39" l="1"/>
  <c r="D49" s="1"/>
  <c r="R17" l="1"/>
  <c r="R43" l="1"/>
  <c r="R42" l="1"/>
  <c r="R35" l="1"/>
  <c r="M35"/>
  <c r="M33" l="1"/>
  <c r="R33"/>
  <c r="R34"/>
  <c r="M16" i="5"/>
  <c r="M18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Q15" i="9" s="1"/>
  <c r="Q22" s="1"/>
  <c r="P19" i="5"/>
  <c r="P25" s="1"/>
  <c r="K19"/>
  <c r="K25" s="1"/>
  <c r="M17"/>
  <c r="M15"/>
  <c r="H19"/>
  <c r="H25" s="1"/>
  <c r="I19"/>
  <c r="J19"/>
  <c r="L19"/>
  <c r="L25" s="1"/>
  <c r="L15" i="9" s="1"/>
  <c r="L22" s="1"/>
  <c r="N19" i="5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P15" i="9" l="1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49" i="2"/>
  <c r="L49"/>
  <c r="R46"/>
  <c r="R19" i="9" s="1"/>
  <c r="R21" i="2" l="1"/>
  <c r="R26"/>
  <c r="R27"/>
  <c r="R28"/>
  <c r="R22"/>
  <c r="O49"/>
  <c r="N39"/>
  <c r="N49" s="1"/>
  <c r="M19"/>
  <c r="M20"/>
  <c r="M21"/>
  <c r="M22"/>
  <c r="M23"/>
  <c r="M24"/>
  <c r="M25"/>
  <c r="M26"/>
  <c r="M27"/>
  <c r="M28"/>
  <c r="M30"/>
  <c r="M31"/>
  <c r="M32"/>
  <c r="M34"/>
  <c r="M17"/>
  <c r="H49"/>
  <c r="M39" l="1"/>
  <c r="Q49"/>
  <c r="R23"/>
  <c r="R20"/>
  <c r="R25"/>
  <c r="R32"/>
  <c r="R19"/>
  <c r="R24"/>
  <c r="R31"/>
  <c r="R30"/>
  <c r="P49"/>
  <c r="M49" l="1"/>
  <c r="M15" i="9"/>
  <c r="M22" s="1"/>
  <c r="R39" i="2"/>
  <c r="R49" l="1"/>
  <c r="R15" i="9"/>
  <c r="R22" s="1"/>
</calcChain>
</file>

<file path=xl/sharedStrings.xml><?xml version="1.0" encoding="utf-8"?>
<sst xmlns="http://schemas.openxmlformats.org/spreadsheetml/2006/main" count="359" uniqueCount="99">
  <si>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</si>
  <si>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</si>
  <si>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</si>
  <si>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</si>
  <si>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</si>
  <si>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</si>
  <si>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</si>
  <si>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</si>
  <si>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</si>
  <si>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</si>
  <si>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</si>
  <si>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</si>
  <si>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</si>
  <si>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</si>
  <si>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</si>
  <si>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</si>
  <si>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</si>
  <si>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</si>
  <si>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</si>
  <si>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</si>
  <si>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</si>
  <si>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</si>
  <si>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</si>
  <si>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</si>
  <si>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</si>
  <si>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</si>
  <si>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</si>
  <si>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</si>
  <si>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</si>
  <si>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</si>
  <si>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</si>
  <si>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</si>
  <si>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</si>
  <si>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</si>
  <si>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</si>
  <si>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</si>
  <si>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</si>
  <si>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</si>
  <si>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</si>
  <si>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</si>
  <si>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</si>
  <si>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</si>
  <si>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Руководитель финансового управления                                           /  Л.В.Вавулинская   /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</si>
  <si>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</si>
  <si>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</si>
  <si>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</si>
  <si>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</si>
  <si>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</si>
  <si>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</si>
  <si>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</si>
  <si>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</si>
  <si>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</si>
  <si>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Договор №9 от 2510.2016</t>
  </si>
  <si>
    <t>Казна поселения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</si>
  <si>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</si>
  <si>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</si>
  <si>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</si>
  <si>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</si>
  <si>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</si>
  <si>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</si>
  <si>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</si>
  <si>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</si>
  <si>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</si>
  <si>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</si>
  <si>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</si>
  <si>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</si>
  <si>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</si>
  <si>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</si>
  <si>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</si>
  <si>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</si>
  <si>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</si>
  <si>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</si>
  <si>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</si>
  <si>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</si>
  <si>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</si>
  <si>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</si>
  <si>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</si>
  <si>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</si>
  <si>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</si>
  <si>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</si>
  <si>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</si>
  <si>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</si>
  <si>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</si>
  <si>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</si>
  <si>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</si>
  <si>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</si>
  <si>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</si>
  <si>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</si>
  <si>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Руководитель финансового управления                                           /    Л.В.Вавулинская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</si>
  <si>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</si>
  <si>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</si>
  <si>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</si>
  <si>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</si>
  <si>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Информация о долговых обяхательствах  Пудожского муниципального района по состоянию на 1 ноября  2018года</t>
  </si>
  <si>
    <t>Информация о долговых обязательствах  Шальского сельского поселения на 1 ноября 2018года</t>
  </si>
  <si>
    <t>Информация о долговых обязательствах  Кривецкого сельского поселения на 1 ноября  2018года</t>
  </si>
  <si>
    <t>Информация о долговых обяхательствах Красноборского сельского поселения на 1 ноября 2018года.</t>
  </si>
  <si>
    <t>Информация о долговых обязательствах Пудожского городского поселения на 1 ноября 2018года.</t>
  </si>
  <si>
    <t>Информация о долговых обяхательствах Авдеевского сельского поселения на 1  ноября 2018года.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</si>
</sst>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topLeftCell="A33" zoomScale="60" zoomScaleNormal="100" workbookViewId="0">
      <selection activeCell="M39" sqref="M39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9" t="s">
        <v>10</v>
      </c>
      <c r="R1" s="89"/>
    </row>
    <row r="2" spans="1:18" ht="26.25" customHeight="1">
      <c r="Q2" s="89"/>
      <c r="R2" s="89"/>
    </row>
    <row r="3" spans="1:18" ht="21.75" customHeight="1">
      <c r="A3" s="90" t="s">
        <v>93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1"/>
      <c r="F7" s="91"/>
      <c r="G7" s="91"/>
      <c r="H7" s="91"/>
      <c r="I7" s="91"/>
      <c r="J7" s="91"/>
      <c r="K7" s="91"/>
      <c r="L7" s="91"/>
      <c r="M7" s="9"/>
      <c r="N7" s="9"/>
    </row>
    <row r="8" spans="1:18" ht="5.25" customHeight="1"/>
    <row r="9" spans="1:18" ht="15" customHeight="1"/>
    <row r="10" spans="1:18" ht="36.75" customHeight="1">
      <c r="A10" s="92" t="s">
        <v>1</v>
      </c>
      <c r="B10" s="93" t="s">
        <v>23</v>
      </c>
      <c r="C10" s="93" t="s">
        <v>11</v>
      </c>
      <c r="D10" s="93" t="s">
        <v>24</v>
      </c>
      <c r="E10" s="93" t="s">
        <v>25</v>
      </c>
      <c r="F10" s="93" t="s">
        <v>7</v>
      </c>
      <c r="G10" s="93" t="s">
        <v>0</v>
      </c>
      <c r="H10" s="93" t="s">
        <v>15</v>
      </c>
      <c r="I10" s="93" t="s">
        <v>8</v>
      </c>
      <c r="J10" s="93" t="s">
        <v>12</v>
      </c>
      <c r="K10" s="93" t="s">
        <v>9</v>
      </c>
      <c r="L10" s="93" t="s">
        <v>13</v>
      </c>
      <c r="M10" s="95" t="s">
        <v>22</v>
      </c>
      <c r="N10" s="96"/>
      <c r="O10" s="93" t="s">
        <v>4</v>
      </c>
      <c r="P10" s="93" t="s">
        <v>19</v>
      </c>
      <c r="Q10" s="93" t="s">
        <v>18</v>
      </c>
      <c r="R10" s="93" t="s">
        <v>17</v>
      </c>
    </row>
    <row r="11" spans="1:18" s="13" customFormat="1" ht="94.5" customHeight="1">
      <c r="A11" s="9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40" t="s">
        <v>14</v>
      </c>
      <c r="N11" s="40" t="s">
        <v>16</v>
      </c>
      <c r="O11" s="94"/>
      <c r="P11" s="94"/>
      <c r="Q11" s="94"/>
      <c r="R11" s="94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1" t="s">
        <v>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7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1:18" s="3" customFormat="1" ht="43.5" customHeight="1">
      <c r="A17" s="80">
        <v>1</v>
      </c>
      <c r="B17" s="22" t="s">
        <v>26</v>
      </c>
      <c r="C17" s="23" t="s">
        <v>40</v>
      </c>
      <c r="D17" s="44">
        <v>5000000</v>
      </c>
      <c r="E17" s="45">
        <v>43814</v>
      </c>
      <c r="F17" s="46" t="s">
        <v>41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27</v>
      </c>
      <c r="C19" s="23" t="s">
        <v>40</v>
      </c>
      <c r="D19" s="44">
        <v>10000000</v>
      </c>
      <c r="E19" s="45">
        <v>43271</v>
      </c>
      <c r="F19" s="46" t="s">
        <v>41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28</v>
      </c>
      <c r="C20" s="23" t="s">
        <v>40</v>
      </c>
      <c r="D20" s="44">
        <v>7000000</v>
      </c>
      <c r="E20" s="45">
        <v>43393</v>
      </c>
      <c r="F20" s="46" t="s">
        <v>41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29</v>
      </c>
      <c r="C21" s="23" t="s">
        <v>40</v>
      </c>
      <c r="D21" s="44"/>
      <c r="E21" s="45"/>
      <c r="F21" s="41"/>
      <c r="G21" s="41">
        <v>2.75</v>
      </c>
      <c r="H21" s="28"/>
      <c r="I21" s="22" t="s">
        <v>29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30</v>
      </c>
      <c r="C22" s="23" t="s">
        <v>40</v>
      </c>
      <c r="D22" s="44">
        <v>3000000</v>
      </c>
      <c r="E22" s="45">
        <v>43449</v>
      </c>
      <c r="F22" s="46" t="s">
        <v>41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31</v>
      </c>
      <c r="C23" s="23" t="s">
        <v>40</v>
      </c>
      <c r="D23" s="44">
        <v>8900000</v>
      </c>
      <c r="E23" s="45">
        <v>43455</v>
      </c>
      <c r="F23" s="46" t="s">
        <v>41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32</v>
      </c>
      <c r="C24" s="23" t="s">
        <v>40</v>
      </c>
      <c r="D24" s="44">
        <v>4000000</v>
      </c>
      <c r="E24" s="45">
        <v>42729</v>
      </c>
      <c r="F24" s="46" t="s">
        <v>41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33</v>
      </c>
      <c r="C25" s="23" t="s">
        <v>40</v>
      </c>
      <c r="D25" s="44">
        <v>5000000</v>
      </c>
      <c r="E25" s="45">
        <v>43605</v>
      </c>
      <c r="F25" s="46" t="s">
        <v>41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34</v>
      </c>
      <c r="C26" s="23" t="s">
        <v>40</v>
      </c>
      <c r="D26" s="44">
        <v>350000</v>
      </c>
      <c r="E26" s="45">
        <v>43814</v>
      </c>
      <c r="F26" s="46" t="s">
        <v>41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35</v>
      </c>
      <c r="C27" s="23" t="s">
        <v>40</v>
      </c>
      <c r="D27" s="44">
        <v>1554000</v>
      </c>
      <c r="E27" s="45">
        <v>43814</v>
      </c>
      <c r="F27" s="46" t="s">
        <v>41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36</v>
      </c>
      <c r="C28" s="23" t="s">
        <v>40</v>
      </c>
      <c r="D28" s="44">
        <v>17160000</v>
      </c>
      <c r="E28" s="45">
        <v>43671</v>
      </c>
      <c r="F28" s="46" t="s">
        <v>41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34651.83+26211.34+22805.25+14541.53+6933.35+22190.71+21474.88+22190.71+22190.71+21819.02+22952.74</f>
        <v>237962.06999999998</v>
      </c>
      <c r="Q28" s="48">
        <f>35913.39+34651.83+26211.34+6933.35+22805.25+14541.53+22190.71+21474.88+22190.71+22190.71+21819.02</f>
        <v>250922.71999999997</v>
      </c>
      <c r="R28" s="49">
        <f t="shared" si="1"/>
        <v>22952.739999999991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37</v>
      </c>
      <c r="C30" s="23" t="s">
        <v>40</v>
      </c>
      <c r="D30" s="44">
        <v>3575000</v>
      </c>
      <c r="E30" s="45">
        <v>43733</v>
      </c>
      <c r="F30" s="46" t="s">
        <v>41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38</v>
      </c>
      <c r="C31" s="23" t="s">
        <v>40</v>
      </c>
      <c r="D31" s="44">
        <v>15000000</v>
      </c>
      <c r="E31" s="45">
        <v>43818</v>
      </c>
      <c r="F31" s="46" t="s">
        <v>41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21905.97+14923.54+10548.22+9932.88+10263.97+9932.88+10263.97+10263.97+10092.05+10616.44</f>
        <v>118743.89000000001</v>
      </c>
      <c r="Q31" s="48">
        <f>22715.62+21905.97+14923.54+10548.22+9932.88+10263.97+9932.88+10263.97+10263.97+10092.05</f>
        <v>130843.07</v>
      </c>
      <c r="R31" s="49">
        <f t="shared" si="1"/>
        <v>10616.440000000002</v>
      </c>
    </row>
    <row r="32" spans="1:18" s="3" customFormat="1" ht="32.25" customHeight="1">
      <c r="A32" s="41">
        <v>15</v>
      </c>
      <c r="B32" s="22" t="s">
        <v>39</v>
      </c>
      <c r="C32" s="23" t="s">
        <v>40</v>
      </c>
      <c r="D32" s="44">
        <v>5000000</v>
      </c>
      <c r="E32" s="45">
        <v>43822</v>
      </c>
      <c r="F32" s="46" t="s">
        <v>41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7871.01+5275.81+3822.67+3599.67+3719.66+3599.67+3719.66+3719.66+3657.36+3847.4</f>
        <v>42832.57</v>
      </c>
      <c r="Q32" s="48">
        <f>8250.32+7871.01+5275.81+3822.67+3599.67+3719.66+3599.67+3719.66+3719.66+3657.36</f>
        <v>47235.490000000005</v>
      </c>
      <c r="R32" s="49">
        <f t="shared" si="1"/>
        <v>3847.3999999999942</v>
      </c>
    </row>
    <row r="33" spans="1:18" s="3" customFormat="1" ht="32.25" customHeight="1">
      <c r="A33" s="71">
        <v>16</v>
      </c>
      <c r="B33" s="22" t="s">
        <v>62</v>
      </c>
      <c r="C33" s="23" t="s">
        <v>40</v>
      </c>
      <c r="D33" s="44" t="s">
        <v>64</v>
      </c>
      <c r="E33" s="45">
        <v>44545</v>
      </c>
      <c r="F33" s="46" t="s">
        <v>41</v>
      </c>
      <c r="G33" s="71">
        <v>2.75</v>
      </c>
      <c r="H33" s="28"/>
      <c r="I33" s="22"/>
      <c r="J33" s="49"/>
      <c r="K33" s="71"/>
      <c r="L33" s="71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-614.79</v>
      </c>
      <c r="R33" s="49">
        <f t="shared" si="1"/>
        <v>0</v>
      </c>
    </row>
    <row r="34" spans="1:18" s="3" customFormat="1" ht="42" customHeight="1">
      <c r="A34" s="72">
        <v>17</v>
      </c>
      <c r="B34" s="22" t="s">
        <v>63</v>
      </c>
      <c r="C34" s="23" t="s">
        <v>40</v>
      </c>
      <c r="D34" s="44">
        <v>15000000</v>
      </c>
      <c r="E34" s="61">
        <v>43981</v>
      </c>
      <c r="F34" s="46" t="s">
        <v>41</v>
      </c>
      <c r="G34" s="48">
        <v>2.75</v>
      </c>
      <c r="H34" s="28">
        <v>7747000</v>
      </c>
      <c r="I34" s="73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95072.67</v>
      </c>
      <c r="Q34" s="48">
        <f>-6093.56+95072.67</f>
        <v>88979.11</v>
      </c>
      <c r="R34" s="49">
        <f t="shared" si="1"/>
        <v>0</v>
      </c>
    </row>
    <row r="35" spans="1:18" s="3" customFormat="1" ht="29.25" customHeight="1">
      <c r="A35" s="72">
        <v>18</v>
      </c>
      <c r="B35" s="22" t="s">
        <v>67</v>
      </c>
      <c r="C35" s="23" t="s">
        <v>40</v>
      </c>
      <c r="D35" s="44">
        <v>1800000</v>
      </c>
      <c r="E35" s="61">
        <v>44185</v>
      </c>
      <c r="F35" s="46" t="s">
        <v>41</v>
      </c>
      <c r="G35" s="48">
        <v>2.75</v>
      </c>
      <c r="H35" s="28">
        <v>1800000</v>
      </c>
      <c r="I35" s="73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v>16132.79</v>
      </c>
      <c r="Q35" s="48">
        <f>-115.3+16132.79</f>
        <v>16017.490000000002</v>
      </c>
      <c r="R35" s="49">
        <f t="shared" si="1"/>
        <v>0</v>
      </c>
    </row>
    <row r="36" spans="1:18" s="3" customFormat="1" ht="29.25" customHeight="1">
      <c r="A36" s="72">
        <v>19</v>
      </c>
      <c r="B36" s="22" t="s">
        <v>74</v>
      </c>
      <c r="C36" s="23" t="s">
        <v>40</v>
      </c>
      <c r="D36" s="44">
        <v>8200000</v>
      </c>
      <c r="E36" s="61">
        <v>44189</v>
      </c>
      <c r="F36" s="46" t="s">
        <v>41</v>
      </c>
      <c r="G36" s="48">
        <v>2.75</v>
      </c>
      <c r="H36" s="28">
        <v>8200000</v>
      </c>
      <c r="I36" s="73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>
        <v>75991</v>
      </c>
      <c r="Q36" s="28">
        <f>3481.74+75991</f>
        <v>79472.740000000005</v>
      </c>
      <c r="R36" s="49">
        <f t="shared" si="1"/>
        <v>0</v>
      </c>
    </row>
    <row r="37" spans="1:18" s="3" customFormat="1" ht="29.25" customHeight="1">
      <c r="A37" s="72">
        <v>20</v>
      </c>
      <c r="B37" s="22" t="s">
        <v>75</v>
      </c>
      <c r="C37" s="23" t="s">
        <v>40</v>
      </c>
      <c r="D37" s="44" t="s">
        <v>64</v>
      </c>
      <c r="E37" s="61">
        <v>43449</v>
      </c>
      <c r="F37" s="46" t="s">
        <v>41</v>
      </c>
      <c r="G37" s="48">
        <v>0.1</v>
      </c>
      <c r="H37" s="28"/>
      <c r="I37" s="73"/>
      <c r="J37" s="48">
        <v>31211000</v>
      </c>
      <c r="K37" s="28"/>
      <c r="L37" s="28">
        <f>1041000+1041000+1041000+1041000+1041000+1041000+1041000+1041000+1035300+21847700</f>
        <v>31211000</v>
      </c>
      <c r="M37" s="47">
        <f t="shared" si="0"/>
        <v>0</v>
      </c>
      <c r="N37" s="28"/>
      <c r="O37" s="28"/>
      <c r="P37" s="48">
        <v>18853.3</v>
      </c>
      <c r="Q37" s="28">
        <v>18853.3</v>
      </c>
      <c r="R37" s="49">
        <f t="shared" si="1"/>
        <v>0</v>
      </c>
    </row>
    <row r="38" spans="1:18" s="3" customFormat="1" ht="29.25" customHeight="1">
      <c r="A38" s="72"/>
      <c r="B38" s="22"/>
      <c r="C38" s="23"/>
      <c r="D38" s="44"/>
      <c r="E38" s="61"/>
      <c r="F38" s="46"/>
      <c r="G38" s="48"/>
      <c r="H38" s="28"/>
      <c r="I38" s="73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3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33184000</v>
      </c>
      <c r="M39" s="28">
        <f>M17+M18+M19+M20+M22+M23+M24+M25+M26+M27+M28+M29+M30+M31+M32+M33+M34+M35+M36+M37+M38</f>
        <v>31979000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661315.30000000005</v>
      </c>
      <c r="Q39" s="48">
        <f>Q17+Q18+Q19+Q20+Q22+Q23+Q24+Q25+Q26+Q27+Q28+Q29+Q30+Q31+Q32+Q33+Q34+Q35+Q36+Q37+Q38</f>
        <v>741565.85</v>
      </c>
      <c r="R39" s="48">
        <f>R17+R18+R19+R20+R22+R23+R24+R25+R26+R27+R28+R29+R30+R31+R32++R33+R34+R35+R36+R37+R38</f>
        <v>37416.579999999987</v>
      </c>
    </row>
    <row r="40" spans="1:18" s="3" customFormat="1" ht="18.75" customHeight="1">
      <c r="A40" s="74"/>
      <c r="B40" s="23"/>
      <c r="C40" s="23"/>
      <c r="D40" s="75"/>
      <c r="E40" s="25"/>
      <c r="F40" s="25"/>
      <c r="G40" s="27"/>
      <c r="H40" s="27"/>
      <c r="I40" s="76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97" t="s">
        <v>20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1:18" s="3" customFormat="1" ht="58.5" customHeight="1">
      <c r="A42" s="77">
        <v>1</v>
      </c>
      <c r="B42" s="22" t="s">
        <v>71</v>
      </c>
      <c r="C42" s="23" t="s">
        <v>70</v>
      </c>
      <c r="D42" s="44">
        <v>15000000</v>
      </c>
      <c r="E42" s="45">
        <v>43751</v>
      </c>
      <c r="F42" s="46" t="s">
        <v>41</v>
      </c>
      <c r="G42" s="78">
        <v>10.183999999999999</v>
      </c>
      <c r="H42" s="48">
        <v>14380000</v>
      </c>
      <c r="I42" s="56"/>
      <c r="J42" s="60"/>
      <c r="K42" s="28"/>
      <c r="L42" s="57">
        <f>620000+620000+620000+620000+2000000+2000000</f>
        <v>6480000</v>
      </c>
      <c r="M42" s="49">
        <f>H42-L42</f>
        <v>7900000</v>
      </c>
      <c r="N42" s="49"/>
      <c r="O42" s="49"/>
      <c r="P42" s="48">
        <f>122994.82+103865.64+110366.66+100645.82+102928.15+99607.89+102928.15+102928.15+83006.58+13811.18+78932.98</f>
        <v>1022016.02</v>
      </c>
      <c r="Q42" s="48">
        <f>122994.82+103865.64+110366.66+100645.82+102928.15+99607.89+102928.15+102928.15+83006.58+13811.18+78932.98</f>
        <v>1022016.02</v>
      </c>
      <c r="R42" s="49">
        <f t="shared" ref="R42:R46" si="2">O42+P42-Q42</f>
        <v>0</v>
      </c>
    </row>
    <row r="43" spans="1:18" s="3" customFormat="1" ht="49.5" customHeight="1">
      <c r="A43" s="77">
        <v>2</v>
      </c>
      <c r="B43" s="22" t="s">
        <v>72</v>
      </c>
      <c r="C43" s="23" t="s">
        <v>73</v>
      </c>
      <c r="D43" s="44">
        <v>9000000</v>
      </c>
      <c r="E43" s="45">
        <v>43764</v>
      </c>
      <c r="F43" s="46" t="s">
        <v>41</v>
      </c>
      <c r="G43" s="78">
        <v>12</v>
      </c>
      <c r="H43" s="48">
        <v>9000000</v>
      </c>
      <c r="I43" s="56"/>
      <c r="J43" s="60"/>
      <c r="K43" s="79"/>
      <c r="L43" s="57">
        <f>375000+375000+375000+375000+375000</f>
        <v>1875000</v>
      </c>
      <c r="M43" s="49">
        <f>H43-L43</f>
        <v>7125000</v>
      </c>
      <c r="N43" s="49"/>
      <c r="O43" s="49"/>
      <c r="P43" s="48">
        <f>99813.7+84489.04+92490.41+85438.36+83675.35+77301.37+79878.08+79878.08+70273.97+72616.44</f>
        <v>825854.79999999981</v>
      </c>
      <c r="Q43" s="48">
        <f>99813.7+84489.04+92490.41+85438.36+83675.35+77301.37+79878.08+79878.08+70273.97+72616.44</f>
        <v>825854.79999999981</v>
      </c>
      <c r="R43" s="49">
        <f t="shared" si="2"/>
        <v>0</v>
      </c>
    </row>
    <row r="44" spans="1:18" s="3" customFormat="1" ht="49.5" customHeight="1">
      <c r="A44" s="77">
        <v>3</v>
      </c>
      <c r="B44" s="22" t="s">
        <v>76</v>
      </c>
      <c r="C44" s="23" t="s">
        <v>70</v>
      </c>
      <c r="D44" s="44">
        <v>15000000</v>
      </c>
      <c r="E44" s="45">
        <v>43917</v>
      </c>
      <c r="F44" s="46" t="s">
        <v>41</v>
      </c>
      <c r="G44" s="78">
        <v>8.5</v>
      </c>
      <c r="H44" s="48"/>
      <c r="I44" s="56">
        <v>15000000</v>
      </c>
      <c r="J44" s="60"/>
      <c r="K44" s="79"/>
      <c r="L44" s="57"/>
      <c r="M44" s="49">
        <f>I44-J44</f>
        <v>15000000</v>
      </c>
      <c r="N44" s="49"/>
      <c r="O44" s="49"/>
      <c r="P44" s="48">
        <f>118767.12+104794.52+108287.67+108287.67+104794.52+108287.67</f>
        <v>653219.17000000004</v>
      </c>
      <c r="Q44" s="48">
        <f>118767.12+104794.52+108287.67+108287.67+104794.52+108287.67</f>
        <v>653219.17000000004</v>
      </c>
      <c r="R44" s="49">
        <f t="shared" si="2"/>
        <v>0</v>
      </c>
    </row>
    <row r="45" spans="1:18" s="3" customFormat="1" ht="49.5" customHeight="1">
      <c r="A45" s="77">
        <v>4</v>
      </c>
      <c r="B45" s="22" t="s">
        <v>82</v>
      </c>
      <c r="C45" s="23" t="s">
        <v>70</v>
      </c>
      <c r="D45" s="44">
        <v>20000000</v>
      </c>
      <c r="E45" s="45">
        <v>44039</v>
      </c>
      <c r="F45" s="46" t="s">
        <v>41</v>
      </c>
      <c r="G45" s="78">
        <v>8.25</v>
      </c>
      <c r="H45" s="48"/>
      <c r="I45" s="56">
        <v>20000000</v>
      </c>
      <c r="J45" s="60"/>
      <c r="K45" s="79"/>
      <c r="L45" s="57"/>
      <c r="M45" s="49">
        <f>I45-J45</f>
        <v>20000000</v>
      </c>
      <c r="N45" s="49"/>
      <c r="O45" s="49"/>
      <c r="P45" s="48">
        <f>18082.19+135616.44+140136.99</f>
        <v>293835.62</v>
      </c>
      <c r="Q45" s="48">
        <f>18082.19+135616.44+140136.99</f>
        <v>293835.62</v>
      </c>
      <c r="R45" s="49">
        <f t="shared" si="2"/>
        <v>0</v>
      </c>
    </row>
    <row r="46" spans="1:18" s="3" customFormat="1" ht="18.75" customHeight="1">
      <c r="A46" s="35" t="s">
        <v>2</v>
      </c>
      <c r="B46" s="22"/>
      <c r="C46" s="23"/>
      <c r="D46" s="44">
        <f>D42+D43+D44+D45</f>
        <v>59000000</v>
      </c>
      <c r="E46" s="44"/>
      <c r="F46" s="44"/>
      <c r="G46" s="44"/>
      <c r="H46" s="44">
        <f>H42+H43+H44+H45</f>
        <v>23380000</v>
      </c>
      <c r="I46" s="44">
        <f t="shared" ref="I46:L46" si="3">I42+I43+I44+I45</f>
        <v>35000000</v>
      </c>
      <c r="J46" s="44">
        <f t="shared" si="3"/>
        <v>0</v>
      </c>
      <c r="K46" s="44">
        <f t="shared" si="3"/>
        <v>0</v>
      </c>
      <c r="L46" s="44">
        <f t="shared" si="3"/>
        <v>8355000</v>
      </c>
      <c r="M46" s="44">
        <f>M42+M43+M44+M45</f>
        <v>50025000</v>
      </c>
      <c r="N46" s="44"/>
      <c r="O46" s="44"/>
      <c r="P46" s="44">
        <f>P42+P43+P44+P45</f>
        <v>2794925.61</v>
      </c>
      <c r="Q46" s="44">
        <f>Q42+Q43+Q44+Q45</f>
        <v>2794925.61</v>
      </c>
      <c r="R46" s="49">
        <f t="shared" si="2"/>
        <v>0</v>
      </c>
    </row>
    <row r="47" spans="1:18" s="3" customFormat="1" ht="0.75" customHeight="1">
      <c r="A47" s="97" t="s">
        <v>21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1:18" s="3" customFormat="1" ht="8.25" hidden="1" customHeight="1">
      <c r="A48" s="33"/>
      <c r="B48" s="22"/>
      <c r="C48" s="23"/>
      <c r="D48" s="24"/>
      <c r="E48" s="25"/>
      <c r="F48" s="26"/>
      <c r="G48" s="28"/>
      <c r="H48" s="27"/>
      <c r="I48" s="28"/>
      <c r="J48" s="28"/>
      <c r="K48" s="28"/>
      <c r="L48" s="29"/>
      <c r="M48" s="28"/>
      <c r="N48" s="28"/>
      <c r="O48" s="28"/>
      <c r="P48" s="28"/>
      <c r="Q48" s="28"/>
      <c r="R48" s="34"/>
    </row>
    <row r="49" spans="1:18" s="3" customFormat="1" ht="18.75" customHeight="1">
      <c r="A49" s="35" t="s">
        <v>43</v>
      </c>
      <c r="B49" s="22"/>
      <c r="C49" s="23"/>
      <c r="D49" s="44">
        <f>D39+D46+D44</f>
        <v>184539000</v>
      </c>
      <c r="E49" s="44"/>
      <c r="F49" s="44"/>
      <c r="G49" s="44"/>
      <c r="H49" s="44">
        <f>H39+H46</f>
        <v>88543000</v>
      </c>
      <c r="I49" s="44">
        <f>I39+I46</f>
        <v>35000000</v>
      </c>
      <c r="J49" s="44">
        <f>J39+J46</f>
        <v>0</v>
      </c>
      <c r="K49" s="44"/>
      <c r="L49" s="44">
        <f t="shared" ref="L49:R49" si="4">L39+L46</f>
        <v>41539000</v>
      </c>
      <c r="M49" s="44">
        <f t="shared" si="4"/>
        <v>82004000</v>
      </c>
      <c r="N49" s="44">
        <f t="shared" si="4"/>
        <v>0</v>
      </c>
      <c r="O49" s="44">
        <f t="shared" si="4"/>
        <v>117667.13000000002</v>
      </c>
      <c r="P49" s="44">
        <f t="shared" si="4"/>
        <v>3456240.91</v>
      </c>
      <c r="Q49" s="44">
        <f t="shared" si="4"/>
        <v>3536491.46</v>
      </c>
      <c r="R49" s="44">
        <f t="shared" si="4"/>
        <v>37416.579999999987</v>
      </c>
    </row>
    <row r="50" spans="1:18" s="19" customFormat="1" ht="33" hidden="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0.5" customHeight="1">
      <c r="A51" s="14"/>
      <c r="B51" s="15"/>
      <c r="C51" s="15"/>
      <c r="D51" s="16"/>
      <c r="E51" s="18"/>
      <c r="F51" s="18"/>
      <c r="G51" s="20"/>
      <c r="H51" s="20"/>
      <c r="I51" s="21"/>
      <c r="J51" s="21"/>
      <c r="K51" s="21"/>
      <c r="L51" s="21"/>
      <c r="M51" s="20"/>
      <c r="N51" s="20"/>
      <c r="O51" s="20"/>
      <c r="P51" s="20"/>
      <c r="Q51" s="20"/>
      <c r="R51" s="20"/>
    </row>
    <row r="52" spans="1:18">
      <c r="A52" s="36" t="s">
        <v>77</v>
      </c>
      <c r="B52" s="37"/>
      <c r="C52" s="37"/>
      <c r="D52" s="38"/>
      <c r="E52" s="39"/>
      <c r="F52" s="39"/>
      <c r="H52" s="36"/>
      <c r="I52" s="36"/>
    </row>
    <row r="54" spans="1:18">
      <c r="A54" s="36" t="s">
        <v>42</v>
      </c>
      <c r="B54" s="37"/>
      <c r="C54" s="37"/>
      <c r="D54" s="38"/>
      <c r="E54" s="39"/>
      <c r="F54" s="39"/>
      <c r="H54" s="36"/>
      <c r="I54" s="36"/>
    </row>
    <row r="56" spans="1:18">
      <c r="A56" s="36" t="s">
        <v>92</v>
      </c>
      <c r="B56" s="37"/>
      <c r="C56" s="37"/>
      <c r="D56" s="38"/>
      <c r="E56" s="39"/>
      <c r="F56" s="39"/>
      <c r="H56" s="36"/>
      <c r="I56" s="36"/>
    </row>
    <row r="60" spans="1:18">
      <c r="A60" s="36"/>
      <c r="B60" s="37"/>
      <c r="C60" s="37"/>
      <c r="D60" s="38"/>
      <c r="E60" s="39"/>
      <c r="F60" s="39"/>
      <c r="H60" s="36"/>
      <c r="I60" s="36"/>
    </row>
    <row r="71" spans="2:2" ht="16.5" customHeight="1"/>
    <row r="72" spans="2:2" ht="30" customHeight="1">
      <c r="B72" s="17"/>
    </row>
  </sheetData>
  <mergeCells count="25">
    <mergeCell ref="A47:R47"/>
    <mergeCell ref="A50:R50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4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33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05">
      <c r="A15" s="41">
        <v>1</v>
      </c>
      <c r="B15" s="22" t="s">
        <v>45</v>
      </c>
      <c r="C15" s="22" t="s">
        <v>49</v>
      </c>
      <c r="D15" s="44">
        <v>800000</v>
      </c>
      <c r="E15" s="61">
        <v>42819</v>
      </c>
      <c r="F15" s="26" t="s">
        <v>53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1156.13+6.87+28.05+949.32+4.73+12.75+1051.03+4.98+25.5+983.22+5.08+20.54+1015.99+4.99+24.65+983.22+4.91+20.54+1015.99+4.75+24.65+1015.99+4.91+24.65+983.22+4.91+24.65+1051.03+5.16+25.5</f>
        <v>10487.909999999998</v>
      </c>
      <c r="Q15" s="48"/>
      <c r="R15" s="49">
        <f>O15+P15-Q15</f>
        <v>11676.989999999998</v>
      </c>
      <c r="S15" s="3"/>
      <c r="T15" s="3"/>
    </row>
    <row r="16" spans="1:20" ht="105">
      <c r="A16" s="41">
        <v>2</v>
      </c>
      <c r="B16" s="22" t="s">
        <v>46</v>
      </c>
      <c r="C16" s="22" t="s">
        <v>49</v>
      </c>
      <c r="D16" s="44">
        <v>1500000</v>
      </c>
      <c r="E16" s="61">
        <v>43459</v>
      </c>
      <c r="F16" s="26" t="s">
        <v>53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3168.26+59.4+18.67+2601.51+27+12.96+2880.24+54+13.66+2694.42+43.5+17.91+2784.23+52.2+22.32+2694.42+43.5+13.46+2963.86+52.2+13.67+2963.86+52.2+15.04+2694.42+52.2+15.04+2880.24+54+14.15</f>
        <v>28972.540000000008</v>
      </c>
      <c r="Q16" s="48"/>
      <c r="R16" s="49">
        <f t="shared" ref="R16:R18" si="1">O16+P16-Q16</f>
        <v>32205.100000000009</v>
      </c>
      <c r="S16" s="3"/>
      <c r="T16" s="3"/>
    </row>
    <row r="17" spans="1:20" ht="105">
      <c r="A17" s="41">
        <v>3</v>
      </c>
      <c r="B17" s="22" t="s">
        <v>47</v>
      </c>
      <c r="C17" s="22" t="s">
        <v>49</v>
      </c>
      <c r="D17" s="44">
        <v>1750000</v>
      </c>
      <c r="E17" s="61">
        <v>43671</v>
      </c>
      <c r="F17" s="26" t="s">
        <v>53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4075.65+8.25+19.82+3346.58+3.75+16.67+3705.14+7.5+17.57+3466.1+6.04+17.91+3581.63+7.25+16.75+3466.1+6.04+17.31+3581.63+7.25+17.59+3581.63+7.25+18.18+3466.1+7.25+18.18+3705.14+7.5+18.2</f>
        <v>36221.96</v>
      </c>
      <c r="Q17" s="48"/>
      <c r="R17" s="49">
        <f t="shared" si="1"/>
        <v>39653.39</v>
      </c>
      <c r="S17" s="3"/>
      <c r="T17" s="3"/>
    </row>
    <row r="18" spans="1:20" ht="105">
      <c r="A18" s="41">
        <v>4</v>
      </c>
      <c r="B18" s="22" t="s">
        <v>48</v>
      </c>
      <c r="C18" s="22" t="s">
        <v>49</v>
      </c>
      <c r="D18" s="44">
        <v>1420000</v>
      </c>
      <c r="E18" s="61">
        <v>43824</v>
      </c>
      <c r="F18" s="26" t="s">
        <v>53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3304.9+19.73+2713.7+13.52+3004.45+14.25+2810.62+9.69+2904.3+14.26+2810.62+14.04+2904.3+14.26+2904.3+14.74+2810.62+14.74+3004.45+14.76</f>
        <v>29316.25</v>
      </c>
      <c r="Q18" s="48"/>
      <c r="R18" s="49">
        <f t="shared" si="1"/>
        <v>32632.69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104998.66</v>
      </c>
      <c r="Q19" s="44">
        <f t="shared" si="2"/>
        <v>0</v>
      </c>
      <c r="R19" s="44">
        <f t="shared" si="2"/>
        <v>116168.17000000001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4" t="s">
        <v>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4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43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56">
        <f t="shared" si="3"/>
        <v>104998.66</v>
      </c>
      <c r="Q26" s="27">
        <f t="shared" si="3"/>
        <v>0</v>
      </c>
      <c r="R26" s="27">
        <f t="shared" si="3"/>
        <v>116168.17000000001</v>
      </c>
      <c r="S26" s="3"/>
      <c r="T26" s="3"/>
    </row>
    <row r="27" spans="1:20" ht="34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78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56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57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Q18" sqref="Q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2">
        <v>1</v>
      </c>
      <c r="B17" s="22" t="s">
        <v>50</v>
      </c>
      <c r="C17" s="22" t="s">
        <v>49</v>
      </c>
      <c r="D17" s="44">
        <v>700000</v>
      </c>
      <c r="E17" s="61">
        <v>43459</v>
      </c>
      <c r="F17" s="26" t="s">
        <v>53</v>
      </c>
      <c r="G17" s="48">
        <v>2.75</v>
      </c>
      <c r="H17" s="28">
        <v>220000</v>
      </c>
      <c r="I17" s="28"/>
      <c r="J17" s="28"/>
      <c r="K17" s="28"/>
      <c r="L17" s="28">
        <f>40000+20000+20000+20000+20000+20000+20000+60000</f>
        <v>220000</v>
      </c>
      <c r="M17" s="47">
        <f>H17+J17-L17</f>
        <v>0</v>
      </c>
      <c r="N17" s="28"/>
      <c r="O17" s="48">
        <v>1157.71</v>
      </c>
      <c r="P17" s="48">
        <f>513.84+55+6.51+419.18+15+1.99+357.53+292.65+256.89+217.17+176.12+127.12+19.86</f>
        <v>2458.8599999999997</v>
      </c>
      <c r="Q17" s="48">
        <f>1794.57+374.66+357.53+357.53+217.17+176.12+319.13+19.86</f>
        <v>3616.57</v>
      </c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220000</v>
      </c>
      <c r="M18" s="27">
        <f t="shared" si="0"/>
        <v>0</v>
      </c>
      <c r="N18" s="27">
        <f t="shared" si="0"/>
        <v>0</v>
      </c>
      <c r="O18" s="56">
        <f t="shared" si="0"/>
        <v>1157.71</v>
      </c>
      <c r="P18" s="56">
        <f t="shared" si="0"/>
        <v>2458.8599999999997</v>
      </c>
      <c r="Q18" s="56">
        <f>Q16+Q17</f>
        <v>3616.57</v>
      </c>
      <c r="R18" s="56">
        <f t="shared" si="0"/>
        <v>0</v>
      </c>
      <c r="S18" s="3"/>
      <c r="T18" s="3"/>
    </row>
    <row r="19" spans="1:20" ht="15">
      <c r="A19" s="97" t="s">
        <v>20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7" t="s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43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220000</v>
      </c>
      <c r="M24" s="27">
        <f t="shared" si="1"/>
        <v>0</v>
      </c>
      <c r="N24" s="27">
        <f t="shared" si="1"/>
        <v>0</v>
      </c>
      <c r="O24" s="56">
        <f t="shared" si="1"/>
        <v>1157.71</v>
      </c>
      <c r="P24" s="56">
        <f t="shared" si="1"/>
        <v>2458.8599999999997</v>
      </c>
      <c r="Q24" s="56">
        <f t="shared" si="1"/>
        <v>3616.57</v>
      </c>
      <c r="R24" s="56">
        <f t="shared" si="1"/>
        <v>0</v>
      </c>
      <c r="S24" s="3"/>
      <c r="T24" s="3"/>
    </row>
    <row r="25" spans="1:20" ht="15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81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topLeftCell="A19" zoomScale="60" zoomScaleNormal="100" workbookViewId="0">
      <selection activeCell="P25" sqref="P25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31.25">
      <c r="A15" s="58">
        <v>1</v>
      </c>
      <c r="B15" s="63" t="s">
        <v>68</v>
      </c>
      <c r="C15" s="65" t="s">
        <v>49</v>
      </c>
      <c r="D15" s="66">
        <v>780000</v>
      </c>
      <c r="E15" s="67">
        <v>43258</v>
      </c>
      <c r="F15" s="68" t="s">
        <v>53</v>
      </c>
      <c r="G15" s="41">
        <v>2.75</v>
      </c>
      <c r="H15" s="69">
        <v>31842</v>
      </c>
      <c r="I15" s="41"/>
      <c r="J15" s="41"/>
      <c r="K15" s="69"/>
      <c r="L15" s="69">
        <v>31842</v>
      </c>
      <c r="M15" s="47">
        <f>H15+J15-L15</f>
        <v>0</v>
      </c>
      <c r="N15" s="41"/>
      <c r="O15" s="70">
        <v>305.92</v>
      </c>
      <c r="P15" s="70">
        <f>74.37+1.77+53.82+61.07+42.81+0.33+67.61+42.81+0.35+67.61+40.77+0.33+67.61+42.81+0.34+65.43+40.77+0.33+67.61+0.32+42.81+67.61+0.33+42.81+65.43+42.81+0.33+8.72+0.33</f>
        <v>1010.0500000000002</v>
      </c>
      <c r="Q15" s="70">
        <f>67.96+908.9+110.75</f>
        <v>1087.6100000000001</v>
      </c>
      <c r="R15" s="49">
        <f>O15+P15-Q15</f>
        <v>228.36000000000013</v>
      </c>
      <c r="S15" s="3"/>
      <c r="T15" s="3"/>
    </row>
    <row r="16" spans="1:20" ht="131.25">
      <c r="A16" s="58">
        <v>2</v>
      </c>
      <c r="B16" s="63" t="s">
        <v>69</v>
      </c>
      <c r="C16" s="65" t="s">
        <v>49</v>
      </c>
      <c r="D16" s="66">
        <v>500000</v>
      </c>
      <c r="E16" s="67">
        <v>43276</v>
      </c>
      <c r="F16" s="68" t="s">
        <v>53</v>
      </c>
      <c r="G16" s="41">
        <v>2.75</v>
      </c>
      <c r="H16" s="69">
        <v>74149</v>
      </c>
      <c r="I16" s="41"/>
      <c r="J16" s="41"/>
      <c r="K16" s="69"/>
      <c r="L16" s="69">
        <v>74149</v>
      </c>
      <c r="M16" s="47">
        <f t="shared" ref="M16:M18" si="0">H16+J16-L16</f>
        <v>0</v>
      </c>
      <c r="N16" s="41"/>
      <c r="O16" s="70">
        <v>532.34</v>
      </c>
      <c r="P16" s="70">
        <f>173.18+37.46+3.07+142.2+6.38+0.96+157.44+12.77+0.64+147.28+10.29+0.71+152.19+12.34+0.7+147.28+10.29+0.76+152.19+12.34+0.77+152.19+12.34+0.8+147.28+12.34+0.8+76.18+0.77</f>
        <v>1583.9399999999996</v>
      </c>
      <c r="Q16" s="70">
        <f>158.08+1390.2+165.33</f>
        <v>1713.61</v>
      </c>
      <c r="R16" s="49">
        <f t="shared" ref="R16:R18" si="1">O16+P16-Q16</f>
        <v>402.66999999999985</v>
      </c>
      <c r="S16" s="3"/>
      <c r="T16" s="3"/>
    </row>
    <row r="17" spans="1:20" ht="131.25">
      <c r="A17" s="58">
        <v>3</v>
      </c>
      <c r="B17" s="63" t="s">
        <v>51</v>
      </c>
      <c r="C17" s="65" t="s">
        <v>49</v>
      </c>
      <c r="D17" s="66">
        <v>204000</v>
      </c>
      <c r="E17" s="67">
        <v>43758</v>
      </c>
      <c r="F17" s="68" t="s">
        <v>53</v>
      </c>
      <c r="G17" s="41">
        <v>2.75</v>
      </c>
      <c r="H17" s="69">
        <v>204000</v>
      </c>
      <c r="I17" s="41"/>
      <c r="J17" s="41"/>
      <c r="K17" s="69"/>
      <c r="L17" s="69">
        <v>0</v>
      </c>
      <c r="M17" s="47">
        <f t="shared" si="0"/>
        <v>204000</v>
      </c>
      <c r="N17" s="41"/>
      <c r="O17" s="70">
        <v>1433.75</v>
      </c>
      <c r="P17" s="70">
        <f>476.47+8.28+391.23+1.95+433.15+2.05+405.21+2.09+418.71+2.06+405.21+2.02+418.71+2.06+418.71+2.12+405.21+2.12+433.15+2.06</f>
        <v>4232.57</v>
      </c>
      <c r="Q17" s="70">
        <f>435.2+3546.98+420.83</f>
        <v>4403.01</v>
      </c>
      <c r="R17" s="49">
        <f t="shared" si="1"/>
        <v>1263.3099999999995</v>
      </c>
      <c r="S17" s="3"/>
      <c r="T17" s="3"/>
    </row>
    <row r="18" spans="1:20" ht="131.25">
      <c r="A18" s="64">
        <v>4</v>
      </c>
      <c r="B18" s="63" t="s">
        <v>52</v>
      </c>
      <c r="C18" s="65" t="s">
        <v>49</v>
      </c>
      <c r="D18" s="66">
        <v>216000</v>
      </c>
      <c r="E18" s="67">
        <v>43758</v>
      </c>
      <c r="F18" s="68" t="s">
        <v>53</v>
      </c>
      <c r="G18" s="41">
        <v>2.75</v>
      </c>
      <c r="H18" s="69">
        <v>216000</v>
      </c>
      <c r="I18" s="28"/>
      <c r="J18" s="28"/>
      <c r="K18" s="69"/>
      <c r="L18" s="69">
        <v>0</v>
      </c>
      <c r="M18" s="47">
        <f t="shared" si="0"/>
        <v>216000</v>
      </c>
      <c r="N18" s="28"/>
      <c r="O18" s="70">
        <v>1518.08</v>
      </c>
      <c r="P18" s="70">
        <f>504.49+8.77+414.25+2.06+458.63+2.17+429.04+2.22+443.34+2.18+429.04+2.14+443.34+2.18+443.34+2.25+429.04+2.25+458.63+2.25</f>
        <v>4481.6099999999997</v>
      </c>
      <c r="Q18" s="70">
        <f>460.8+3755.61+445.59</f>
        <v>4662</v>
      </c>
      <c r="R18" s="49">
        <f t="shared" si="1"/>
        <v>1337.6899999999996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105991</v>
      </c>
      <c r="M19" s="44">
        <f t="shared" si="2"/>
        <v>420000</v>
      </c>
      <c r="N19" s="44">
        <f t="shared" si="2"/>
        <v>0</v>
      </c>
      <c r="O19" s="44">
        <f t="shared" si="2"/>
        <v>3790.09</v>
      </c>
      <c r="P19" s="44">
        <f t="shared" si="2"/>
        <v>11308.169999999998</v>
      </c>
      <c r="Q19" s="44">
        <f t="shared" si="2"/>
        <v>11866.23</v>
      </c>
      <c r="R19" s="44">
        <f t="shared" si="2"/>
        <v>3232.0299999999988</v>
      </c>
      <c r="S19" s="3"/>
      <c r="T19" s="3"/>
    </row>
    <row r="20" spans="1:20" ht="15">
      <c r="A20" s="97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43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105991</v>
      </c>
      <c r="M25" s="27">
        <f t="shared" si="3"/>
        <v>420000</v>
      </c>
      <c r="N25" s="27">
        <f t="shared" si="3"/>
        <v>0</v>
      </c>
      <c r="O25" s="27">
        <f t="shared" si="3"/>
        <v>3790.09</v>
      </c>
      <c r="P25" s="56">
        <f t="shared" si="3"/>
        <v>11308.169999999998</v>
      </c>
      <c r="Q25" s="27">
        <f t="shared" si="3"/>
        <v>11866.23</v>
      </c>
      <c r="R25" s="27">
        <f t="shared" si="3"/>
        <v>3232.0299999999988</v>
      </c>
      <c r="S25" s="3"/>
      <c r="T25" s="3"/>
    </row>
    <row r="26" spans="1:20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79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55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topLeftCell="A10" zoomScale="60" zoomScaleNormal="100" workbookViewId="0">
      <selection activeCell="Q22" sqref="Q2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1.7109375" bestFit="1" customWidth="1"/>
    <col min="5" max="5" width="12" bestFit="1" customWidth="1"/>
    <col min="6" max="6" width="12" customWidth="1"/>
    <col min="7" max="8" width="9" bestFit="1" customWidth="1"/>
    <col min="9" max="9" width="11.42578125" bestFit="1" customWidth="1"/>
    <col min="10" max="10" width="10.7109375" bestFit="1" customWidth="1"/>
    <col min="11" max="12" width="9" bestFit="1" customWidth="1"/>
    <col min="13" max="13" width="10.7109375" bestFit="1" customWidth="1"/>
    <col min="16" max="17" width="9.5703125" bestFit="1" customWidth="1"/>
  </cols>
  <sheetData>
    <row r="1" spans="1:18" ht="18.75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83"/>
      <c r="N5" s="83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2" t="s">
        <v>14</v>
      </c>
      <c r="N9" s="82" t="s">
        <v>16</v>
      </c>
      <c r="O9" s="94"/>
      <c r="P9" s="94"/>
      <c r="Q9" s="94"/>
      <c r="R9" s="94"/>
    </row>
    <row r="10" spans="1:18">
      <c r="A10" s="32">
        <v>1</v>
      </c>
      <c r="B10" s="84">
        <v>2</v>
      </c>
      <c r="C10" s="12">
        <v>3</v>
      </c>
      <c r="D10" s="84">
        <v>4</v>
      </c>
      <c r="E10" s="12">
        <v>5</v>
      </c>
      <c r="F10" s="84">
        <v>6</v>
      </c>
      <c r="G10" s="32">
        <v>7</v>
      </c>
      <c r="H10" s="84">
        <v>8</v>
      </c>
      <c r="I10" s="12">
        <v>9</v>
      </c>
      <c r="J10" s="84">
        <v>10</v>
      </c>
      <c r="K10" s="12">
        <v>11</v>
      </c>
      <c r="L10" s="84">
        <v>12</v>
      </c>
      <c r="M10" s="12">
        <v>13</v>
      </c>
      <c r="N10" s="84">
        <v>14</v>
      </c>
      <c r="O10" s="12">
        <v>15</v>
      </c>
      <c r="P10" s="84">
        <v>16</v>
      </c>
      <c r="Q10" s="12">
        <v>17</v>
      </c>
      <c r="R10" s="84">
        <v>18</v>
      </c>
    </row>
    <row r="11" spans="1:18" ht="14.2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9.5">
      <c r="A15" s="81"/>
      <c r="B15" s="63"/>
      <c r="C15" s="65"/>
      <c r="D15" s="66"/>
      <c r="E15" s="67"/>
      <c r="F15" s="68"/>
      <c r="G15" s="85"/>
      <c r="H15" s="69"/>
      <c r="I15" s="85"/>
      <c r="J15" s="85"/>
      <c r="K15" s="69"/>
      <c r="L15" s="69"/>
      <c r="M15" s="47">
        <f>H15+J15-L15</f>
        <v>0</v>
      </c>
      <c r="N15" s="85"/>
      <c r="O15" s="70"/>
      <c r="P15" s="70"/>
      <c r="Q15" s="70"/>
      <c r="R15" s="49">
        <f>O15+P15-Q15</f>
        <v>0</v>
      </c>
    </row>
    <row r="16" spans="1:18" ht="19.5">
      <c r="A16" s="81"/>
      <c r="B16" s="63"/>
      <c r="C16" s="65"/>
      <c r="D16" s="66"/>
      <c r="E16" s="67"/>
      <c r="F16" s="68"/>
      <c r="G16" s="85"/>
      <c r="H16" s="69"/>
      <c r="I16" s="85"/>
      <c r="J16" s="85"/>
      <c r="K16" s="69"/>
      <c r="L16" s="69"/>
      <c r="M16" s="47">
        <f t="shared" ref="M16:M18" si="0">H16+J16-L16</f>
        <v>0</v>
      </c>
      <c r="N16" s="85"/>
      <c r="O16" s="70"/>
      <c r="P16" s="70"/>
      <c r="Q16" s="70"/>
      <c r="R16" s="49">
        <f t="shared" ref="R16:R18" si="1">O16+P16-Q16</f>
        <v>0</v>
      </c>
    </row>
    <row r="17" spans="1:18" ht="19.5">
      <c r="A17" s="81"/>
      <c r="B17" s="63"/>
      <c r="C17" s="65"/>
      <c r="D17" s="66"/>
      <c r="E17" s="67"/>
      <c r="F17" s="68"/>
      <c r="G17" s="85"/>
      <c r="H17" s="69"/>
      <c r="I17" s="85"/>
      <c r="J17" s="85"/>
      <c r="K17" s="69"/>
      <c r="L17" s="69"/>
      <c r="M17" s="47">
        <f t="shared" si="0"/>
        <v>0</v>
      </c>
      <c r="N17" s="85"/>
      <c r="O17" s="70"/>
      <c r="P17" s="70"/>
      <c r="Q17" s="70"/>
      <c r="R17" s="49">
        <f t="shared" si="1"/>
        <v>0</v>
      </c>
    </row>
    <row r="18" spans="1:18" ht="19.5">
      <c r="A18" s="64"/>
      <c r="B18" s="63"/>
      <c r="C18" s="65"/>
      <c r="D18" s="66"/>
      <c r="E18" s="67"/>
      <c r="F18" s="68"/>
      <c r="G18" s="85"/>
      <c r="H18" s="69"/>
      <c r="I18" s="28"/>
      <c r="J18" s="28"/>
      <c r="K18" s="69"/>
      <c r="L18" s="69">
        <v>0</v>
      </c>
      <c r="M18" s="47">
        <f t="shared" si="0"/>
        <v>0</v>
      </c>
      <c r="N18" s="28"/>
      <c r="O18" s="70"/>
      <c r="P18" s="70"/>
      <c r="Q18" s="70"/>
      <c r="R18" s="49">
        <f t="shared" si="1"/>
        <v>0</v>
      </c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2">H15+H16+H17+H18</f>
        <v>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</row>
    <row r="20" spans="1:18" ht="14.25">
      <c r="A20" s="97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75">
      <c r="A21" s="33" t="s">
        <v>83</v>
      </c>
      <c r="B21" s="22" t="s">
        <v>84</v>
      </c>
      <c r="C21" s="23" t="s">
        <v>70</v>
      </c>
      <c r="D21" s="44">
        <v>2000000</v>
      </c>
      <c r="E21" s="45">
        <v>43677</v>
      </c>
      <c r="F21" s="26" t="s">
        <v>85</v>
      </c>
      <c r="G21" s="48">
        <v>8.77</v>
      </c>
      <c r="H21" s="27"/>
      <c r="I21" s="73">
        <v>43315</v>
      </c>
      <c r="J21" s="28">
        <v>2000000</v>
      </c>
      <c r="K21" s="28"/>
      <c r="L21" s="29"/>
      <c r="M21" s="28">
        <f>J21-L21</f>
        <v>2000000</v>
      </c>
      <c r="N21" s="28"/>
      <c r="O21" s="28"/>
      <c r="P21" s="48">
        <v>44690.97</v>
      </c>
      <c r="Q21" s="48">
        <v>44690.97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 t="shared" ref="K24:L24" si="3">K21</f>
        <v>0</v>
      </c>
      <c r="L24" s="28">
        <f t="shared" si="3"/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43</v>
      </c>
      <c r="B25" s="22"/>
      <c r="C25" s="23"/>
      <c r="D25" s="44">
        <f>D19</f>
        <v>0</v>
      </c>
      <c r="E25" s="44"/>
      <c r="F25" s="26"/>
      <c r="G25" s="28"/>
      <c r="H25" s="27">
        <f>H19</f>
        <v>0</v>
      </c>
      <c r="I25" s="27">
        <f t="shared" ref="I25:R25" si="4">I19</f>
        <v>0</v>
      </c>
      <c r="J25" s="27">
        <v>2000000</v>
      </c>
      <c r="K25" s="27">
        <f t="shared" si="4"/>
        <v>0</v>
      </c>
      <c r="L25" s="27">
        <f t="shared" si="4"/>
        <v>0</v>
      </c>
      <c r="M25" s="27">
        <v>2000000</v>
      </c>
      <c r="N25" s="27">
        <f t="shared" si="4"/>
        <v>0</v>
      </c>
      <c r="O25" s="27">
        <f t="shared" si="4"/>
        <v>0</v>
      </c>
      <c r="P25" s="27">
        <v>29794</v>
      </c>
      <c r="Q25" s="27">
        <v>29794</v>
      </c>
      <c r="R25" s="27">
        <f t="shared" si="4"/>
        <v>0</v>
      </c>
    </row>
    <row r="26" spans="1:18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79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55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60</v>
      </c>
      <c r="C16" s="63" t="s">
        <v>49</v>
      </c>
      <c r="D16" s="66">
        <v>836000</v>
      </c>
      <c r="E16" s="67">
        <v>43758</v>
      </c>
      <c r="F16" s="59" t="s">
        <v>61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1963.49</v>
      </c>
      <c r="P16" s="70">
        <f>1952.58+11.34+1603.29+7.99+1775.07+1660.55+1715.9+1660.55+8.29+1715.9+4.01+1715.9+4.15+1660.55+4.15+1775.07</f>
        <v>17275.289999999997</v>
      </c>
      <c r="Q16" s="70">
        <f>5538.69+1775.07+5047.91+1719.91</f>
        <v>14081.579999999998</v>
      </c>
      <c r="R16" s="49">
        <f>O16+P16-Q16</f>
        <v>5157.2000000000007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17275.289999999997</v>
      </c>
      <c r="Q17" s="44">
        <f t="shared" si="0"/>
        <v>14081.579999999998</v>
      </c>
      <c r="R17" s="44">
        <f t="shared" si="0"/>
        <v>5157.2000000000007</v>
      </c>
      <c r="S17" s="3"/>
      <c r="T17" s="3"/>
    </row>
    <row r="18" spans="1:20" ht="15">
      <c r="A18" s="97" t="s">
        <v>20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43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17275.289999999997</v>
      </c>
      <c r="Q23" s="44">
        <f t="shared" si="1"/>
        <v>14081.579999999998</v>
      </c>
      <c r="R23" s="44">
        <f t="shared" si="1"/>
        <v>5157.2000000000007</v>
      </c>
      <c r="S23" s="3"/>
      <c r="T23" s="3"/>
    </row>
    <row r="24" spans="1:20" ht="15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80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58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C1" zoomScaleNormal="100" workbookViewId="0">
      <selection activeCell="L15" sqref="L15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9" width="9.28515625" bestFit="1" customWidth="1"/>
    <col min="10" max="10" width="12" customWidth="1"/>
    <col min="11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91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4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325991</v>
      </c>
      <c r="M15" s="44">
        <f>Шала!M19+Кривцы!M18+Авдеево!M23+Красноборский!M25</f>
        <v>6267500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136040.97999999998</v>
      </c>
      <c r="Q15" s="44">
        <f>Шала!Q19+Кривцы!Q18+Авдеево!Q23+Красноборский!Q25</f>
        <v>29564.379999999997</v>
      </c>
      <c r="R15" s="44">
        <f>Шала!R19+Кривцы!R18+Авдеево!R23+Красноборский!R25</f>
        <v>124557.40000000001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3"/>
      <c r="T17" s="3"/>
    </row>
    <row r="18" spans="1:20" ht="120">
      <c r="A18" s="33"/>
      <c r="B18" s="22" t="s">
        <v>84</v>
      </c>
      <c r="C18" s="23" t="s">
        <v>70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15377.54</v>
      </c>
      <c r="Q19" s="44">
        <f t="shared" si="0"/>
        <v>15377.54</v>
      </c>
      <c r="R19" s="44">
        <f t="shared" si="0"/>
        <v>0</v>
      </c>
      <c r="S19" s="3"/>
      <c r="T19" s="3"/>
    </row>
    <row r="20" spans="1:20" ht="1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86</v>
      </c>
      <c r="B22" s="22"/>
      <c r="C22" s="23"/>
      <c r="D22" s="44">
        <f>D15+D19</f>
        <v>10706000</v>
      </c>
      <c r="E22" s="44">
        <f t="shared" ref="E22:R22" si="1">E15+E19</f>
        <v>0</v>
      </c>
      <c r="F22" s="44">
        <f t="shared" si="1"/>
        <v>0</v>
      </c>
      <c r="G22" s="44">
        <f t="shared" si="1"/>
        <v>0</v>
      </c>
      <c r="H22" s="44">
        <f t="shared" si="1"/>
        <v>6593491</v>
      </c>
      <c r="I22" s="44">
        <f t="shared" si="1"/>
        <v>0</v>
      </c>
      <c r="J22" s="44">
        <f t="shared" si="1"/>
        <v>2000000</v>
      </c>
      <c r="K22" s="44">
        <f t="shared" si="1"/>
        <v>0</v>
      </c>
      <c r="L22" s="44">
        <f t="shared" si="1"/>
        <v>325991</v>
      </c>
      <c r="M22" s="44">
        <f t="shared" si="1"/>
        <v>8267500</v>
      </c>
      <c r="N22" s="44">
        <f t="shared" si="1"/>
        <v>1855000</v>
      </c>
      <c r="O22" s="44">
        <f t="shared" si="1"/>
        <v>18080.800000000003</v>
      </c>
      <c r="P22" s="44">
        <f t="shared" si="1"/>
        <v>151418.51999999999</v>
      </c>
      <c r="Q22" s="44">
        <f t="shared" si="1"/>
        <v>44941.919999999998</v>
      </c>
      <c r="R22" s="44">
        <f t="shared" si="1"/>
        <v>124557.40000000001</v>
      </c>
      <c r="S22" s="3"/>
      <c r="T22" s="3"/>
    </row>
    <row r="23" spans="1:20" ht="15" thickBot="1">
      <c r="A23" s="105" t="s">
        <v>44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87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88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10" workbookViewId="0">
      <selection activeCell="I18" sqref="I18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 t="s">
        <v>91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86"/>
      <c r="N5" s="86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67.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8" t="s">
        <v>14</v>
      </c>
      <c r="N9" s="88" t="s">
        <v>16</v>
      </c>
      <c r="O9" s="94"/>
      <c r="P9" s="94"/>
      <c r="Q9" s="94"/>
      <c r="R9" s="94"/>
    </row>
    <row r="10" spans="1:18">
      <c r="A10" s="32">
        <v>1</v>
      </c>
      <c r="B10" s="87">
        <v>2</v>
      </c>
      <c r="C10" s="12">
        <v>3</v>
      </c>
      <c r="D10" s="87">
        <v>4</v>
      </c>
      <c r="E10" s="12">
        <v>5</v>
      </c>
      <c r="F10" s="87">
        <v>6</v>
      </c>
      <c r="G10" s="32">
        <v>7</v>
      </c>
      <c r="H10" s="87">
        <v>8</v>
      </c>
      <c r="I10" s="12">
        <v>9</v>
      </c>
      <c r="J10" s="87">
        <v>10</v>
      </c>
      <c r="K10" s="12">
        <v>11</v>
      </c>
      <c r="L10" s="87">
        <v>12</v>
      </c>
      <c r="M10" s="12">
        <v>13</v>
      </c>
      <c r="N10" s="87">
        <v>14</v>
      </c>
      <c r="O10" s="12">
        <v>15</v>
      </c>
      <c r="P10" s="87">
        <v>16</v>
      </c>
      <c r="Q10" s="12">
        <v>17</v>
      </c>
      <c r="R10" s="87">
        <v>18</v>
      </c>
    </row>
    <row r="11" spans="1:18" ht="14.2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5">
      <c r="A15" s="33">
        <v>1</v>
      </c>
      <c r="B15" s="22"/>
      <c r="C15" s="23"/>
      <c r="D15" s="44">
        <f>Шала!D19+Кривцы!D18+Авдеево!D23+Красноборский!D25+район!D39</f>
        <v>119245000</v>
      </c>
      <c r="E15" s="44">
        <f>Шала!E19+Кривцы!E18+Авдеево!E23+Красноборский!E25+район!E39</f>
        <v>0</v>
      </c>
      <c r="F15" s="44">
        <f>Шала!F19+Кривцы!F18+Авдеево!F23+Красноборский!F25+район!F39</f>
        <v>0</v>
      </c>
      <c r="G15" s="44">
        <f>Шала!G19+Кривцы!G18+Авдеево!G23+Красноборский!G25+район!G39</f>
        <v>0</v>
      </c>
      <c r="H15" s="44">
        <f>Шала!H19+Кривцы!H18+Авдеево!H23+Красноборский!H25+район!H39</f>
        <v>71756491</v>
      </c>
      <c r="I15" s="44">
        <f>Шала!I19+Кривцы!I18+Авдеево!I23+Красноборский!I25+район!I39</f>
        <v>0</v>
      </c>
      <c r="J15" s="44">
        <f>Шала!J19+Кривцы!J18+Авдеево!J23+Красноборский!J25+район!J39</f>
        <v>0</v>
      </c>
      <c r="K15" s="44">
        <f>Шала!K19+Кривцы!K18+Авдеево!K23+Красноборский!K25+район!K39</f>
        <v>0</v>
      </c>
      <c r="L15" s="44">
        <f>Шала!L19+Кривцы!L18+Авдеево!L23+Красноборский!L25+район!L39</f>
        <v>33509991</v>
      </c>
      <c r="M15" s="44">
        <f>Шала!M19+Кривцы!M18+Авдеево!M23+Красноборский!M25+район!M39</f>
        <v>38246500</v>
      </c>
      <c r="N15" s="44">
        <f>Шала!N19+Кривцы!N18+Авдеево!N23+Красноборский!N25+район!N39</f>
        <v>1855000</v>
      </c>
      <c r="O15" s="44">
        <f>Шала!O19+Кривцы!O18+Авдеево!O23+Красноборский!O25+район!O39</f>
        <v>135747.93000000002</v>
      </c>
      <c r="P15" s="44">
        <f>Шала!P19+Кривцы!P18+Авдеево!P23+Красноборский!P25+район!P39</f>
        <v>797356.28</v>
      </c>
      <c r="Q15" s="44">
        <f>Шала!Q19+Кривцы!Q18+Авдеево!Q23+Красноборский!Q25+район!Q39</f>
        <v>771130.23</v>
      </c>
      <c r="R15" s="44">
        <f>Шала!R19+Кривцы!R18+Авдеево!R23+Красноборский!R25+район!R39</f>
        <v>161973.97999999998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1:18" ht="165">
      <c r="A18" s="33"/>
      <c r="B18" s="22" t="s">
        <v>84</v>
      </c>
      <c r="C18" s="23" t="s">
        <v>70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D18+район!D46</f>
        <v>61000000</v>
      </c>
      <c r="E19" s="44">
        <f>E18+район!E46</f>
        <v>0</v>
      </c>
      <c r="F19" s="44">
        <f>F18+район!F46</f>
        <v>0</v>
      </c>
      <c r="G19" s="44">
        <f>G18+район!G46</f>
        <v>0</v>
      </c>
      <c r="H19" s="44">
        <f>H18+район!H46</f>
        <v>23380000</v>
      </c>
      <c r="I19" s="44">
        <f>I18+район!I46</f>
        <v>35000000</v>
      </c>
      <c r="J19" s="44">
        <f>J18+район!J46</f>
        <v>2000000</v>
      </c>
      <c r="K19" s="44">
        <f>K18+район!K46</f>
        <v>0</v>
      </c>
      <c r="L19" s="44">
        <f>L18+район!L46</f>
        <v>8355000</v>
      </c>
      <c r="M19" s="44">
        <f>M18+район!M46</f>
        <v>52025000</v>
      </c>
      <c r="N19" s="44">
        <f>N18+район!N46</f>
        <v>0</v>
      </c>
      <c r="O19" s="44">
        <f>O18+район!O46</f>
        <v>0</v>
      </c>
      <c r="P19" s="44">
        <f>P18+район!P46</f>
        <v>2810303.15</v>
      </c>
      <c r="Q19" s="44">
        <f>Q18+район!Q46</f>
        <v>2810303.15</v>
      </c>
      <c r="R19" s="44">
        <f>R18+район!R46</f>
        <v>0</v>
      </c>
    </row>
    <row r="20" spans="1:18" ht="14.2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86</v>
      </c>
      <c r="B22" s="22"/>
      <c r="C22" s="23"/>
      <c r="D22" s="44">
        <f>D15+D19</f>
        <v>180245000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95136491</v>
      </c>
      <c r="I22" s="44">
        <f t="shared" si="0"/>
        <v>35000000</v>
      </c>
      <c r="J22" s="44">
        <f t="shared" si="0"/>
        <v>2000000</v>
      </c>
      <c r="K22" s="44">
        <f t="shared" si="0"/>
        <v>0</v>
      </c>
      <c r="L22" s="44">
        <f t="shared" si="0"/>
        <v>41864991</v>
      </c>
      <c r="M22" s="44">
        <f t="shared" si="0"/>
        <v>90271500</v>
      </c>
      <c r="N22" s="44">
        <f t="shared" si="0"/>
        <v>1855000</v>
      </c>
      <c r="O22" s="44">
        <f t="shared" si="0"/>
        <v>135747.93000000002</v>
      </c>
      <c r="P22" s="44">
        <f t="shared" si="0"/>
        <v>3607659.4299999997</v>
      </c>
      <c r="Q22" s="44">
        <f t="shared" si="0"/>
        <v>3581433.38</v>
      </c>
      <c r="R22" s="44">
        <f t="shared" si="0"/>
        <v>161973.97999999998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2018-11-21T08:29:03Z</cp:lastPrinted>
  <dcterms:created xsi:type="dcterms:W3CDTF">2006-06-05T06:40:26Z</dcterms:created>
  <dcterms:modified xsi:type="dcterms:W3CDTF">2018-11-27T08:56:28Z</dcterms:modified>
</cp:coreProperties>
</file>